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adamsco.sharepoint.com/sites/NCD22016.02/Shared Documents/2024 CFI Grant/5_Final Deliverable/For Application/"/>
    </mc:Choice>
  </mc:AlternateContent>
  <xr:revisionPtr revIDLastSave="557" documentId="8_{ECB8650F-05C3-411B-85B1-9E75ADCB394E}" xr6:coauthVersionLast="47" xr6:coauthVersionMax="47" xr10:uidLastSave="{8AE6737D-485B-4E14-97EF-8F2A16CFD951}"/>
  <bookViews>
    <workbookView xWindow="-28920" yWindow="-120" windowWidth="29040" windowHeight="15840" tabRatio="606" xr2:uid="{8779CBFB-A1C1-454D-9D06-378A647018F2}"/>
  </bookViews>
  <sheets>
    <sheet name="High Level Summary" sheetId="1" r:id="rId1"/>
    <sheet name="Pre and Post NEPA funding" sheetId="23" r:id="rId2"/>
    <sheet name="SummarybyPhase" sheetId="16" r:id="rId3"/>
    <sheet name="Cost Basis_ECSU" sheetId="12" r:id="rId4"/>
    <sheet name="Cost Basis_Shaw" sheetId="15" state="hidden" r:id="rId5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3" l="1"/>
  <c r="E8" i="23" s="1"/>
  <c r="C15" i="23" l="1"/>
  <c r="D15" i="23" l="1"/>
  <c r="G51" i="12"/>
  <c r="E15" i="23" l="1"/>
  <c r="D5" i="12"/>
  <c r="F9" i="23" l="1"/>
  <c r="D5" i="23"/>
  <c r="D6" i="23"/>
  <c r="D7" i="23"/>
  <c r="E11" i="12"/>
  <c r="F10" i="12" l="1"/>
  <c r="E13" i="12" l="1"/>
  <c r="L6" i="12"/>
  <c r="L5" i="12"/>
  <c r="E6" i="12" l="1"/>
  <c r="E20" i="12"/>
  <c r="C5" i="12" l="1"/>
  <c r="E5" i="12" l="1"/>
  <c r="E12" i="12" l="1"/>
  <c r="F12" i="12" s="1"/>
  <c r="F11" i="12"/>
  <c r="F14" i="12" l="1"/>
  <c r="C4" i="23" s="1"/>
  <c r="D4" i="23" s="1"/>
  <c r="E14" i="12"/>
  <c r="B2" i="15" l="1"/>
  <c r="B4" i="15" s="1"/>
  <c r="C2" i="15"/>
  <c r="B7" i="15"/>
  <c r="C7" i="15"/>
  <c r="B10" i="15"/>
  <c r="C10" i="15"/>
  <c r="B11" i="15"/>
  <c r="C11" i="15"/>
  <c r="B12" i="15"/>
  <c r="C12" i="15"/>
  <c r="B13" i="15"/>
  <c r="C13" i="15"/>
  <c r="B16" i="15"/>
  <c r="C16" i="15"/>
  <c r="B17" i="15"/>
  <c r="C17" i="15"/>
  <c r="C18" i="15"/>
  <c r="C19" i="15"/>
  <c r="B24" i="15"/>
  <c r="B26" i="15" s="1"/>
  <c r="C24" i="15"/>
  <c r="C26" i="15" s="1"/>
  <c r="C7" i="12"/>
  <c r="D7" i="12"/>
  <c r="C10" i="12"/>
  <c r="D10" i="12"/>
  <c r="C11" i="12"/>
  <c r="D11" i="12"/>
  <c r="C12" i="12"/>
  <c r="D12" i="12"/>
  <c r="C13" i="12"/>
  <c r="D13" i="12"/>
  <c r="C16" i="12"/>
  <c r="D16" i="12"/>
  <c r="E16" i="12" s="1"/>
  <c r="C17" i="12"/>
  <c r="D17" i="12"/>
  <c r="E17" i="12" s="1"/>
  <c r="D18" i="12"/>
  <c r="E18" i="12" s="1"/>
  <c r="D19" i="12"/>
  <c r="E19" i="12" s="1"/>
  <c r="C24" i="12"/>
  <c r="D24" i="12"/>
  <c r="D25" i="12" s="1"/>
  <c r="E7" i="12" l="1"/>
  <c r="E24" i="12"/>
  <c r="B14" i="15"/>
  <c r="D26" i="15"/>
  <c r="B8" i="15"/>
  <c r="C14" i="15"/>
  <c r="D14" i="15" s="1"/>
  <c r="E21" i="12"/>
  <c r="E3" i="16" s="1"/>
  <c r="E8" i="12"/>
  <c r="C25" i="12"/>
  <c r="E25" i="12"/>
  <c r="C21" i="15"/>
  <c r="C21" i="12"/>
  <c r="C26" i="12" s="1"/>
  <c r="D21" i="12"/>
  <c r="D26" i="12" s="1"/>
  <c r="B22" i="15"/>
  <c r="B27" i="15" s="1"/>
  <c r="C8" i="15"/>
  <c r="B21" i="15"/>
  <c r="D21" i="15" s="1"/>
  <c r="D8" i="15" l="1"/>
  <c r="D3" i="16"/>
  <c r="D4" i="16" s="1"/>
  <c r="C3" i="16"/>
  <c r="C4" i="16" s="1"/>
  <c r="C22" i="15"/>
  <c r="C27" i="15" s="1"/>
  <c r="C7" i="16" l="1"/>
  <c r="C8" i="16" s="1"/>
  <c r="E4" i="23"/>
  <c r="D27" i="15"/>
  <c r="D28" i="15" s="1"/>
  <c r="D22" i="15"/>
  <c r="F4" i="23" l="1"/>
  <c r="G4" i="23"/>
  <c r="H4" i="23" s="1"/>
  <c r="D29" i="15"/>
  <c r="D33" i="15" l="1"/>
  <c r="D32" i="15"/>
  <c r="D30" i="15"/>
  <c r="E22" i="12" l="1"/>
  <c r="E4" i="16"/>
  <c r="E6" i="23" s="1"/>
  <c r="E26" i="12"/>
  <c r="F3" i="16"/>
  <c r="F4" i="16" s="1"/>
  <c r="E7" i="23" l="1"/>
  <c r="F7" i="23" s="1"/>
  <c r="F7" i="16"/>
  <c r="F8" i="16" s="1"/>
  <c r="E5" i="23"/>
  <c r="D7" i="16"/>
  <c r="D8" i="16" s="1"/>
  <c r="E27" i="12"/>
  <c r="E7" i="16" l="1"/>
  <c r="E8" i="16" s="1"/>
  <c r="F6" i="23"/>
  <c r="G3" i="16"/>
  <c r="G4" i="16" s="1"/>
  <c r="F8" i="23"/>
  <c r="F5" i="23"/>
  <c r="F27" i="12"/>
  <c r="E33" i="12" s="1"/>
  <c r="E28" i="12"/>
  <c r="E10" i="23" l="1"/>
  <c r="F10" i="23"/>
  <c r="G7" i="16"/>
  <c r="G8" i="16" s="1"/>
  <c r="D8" i="23"/>
  <c r="E16" i="23"/>
  <c r="H3" i="16" l="1"/>
  <c r="E30" i="12"/>
  <c r="H4" i="16" l="1"/>
  <c r="E31" i="12"/>
  <c r="E32" i="12"/>
  <c r="I3" i="16"/>
  <c r="I4" i="16" s="1"/>
  <c r="J4" i="16" l="1"/>
  <c r="J5" i="16" s="1"/>
  <c r="K4" i="16"/>
  <c r="K5" i="16" s="1"/>
  <c r="H7" i="16"/>
  <c r="H8" i="16" s="1"/>
  <c r="C9" i="23"/>
  <c r="E3" i="1"/>
  <c r="E4" i="1" s="1"/>
  <c r="K3" i="16"/>
  <c r="J3" i="16"/>
  <c r="I7" i="16" l="1"/>
  <c r="I8" i="16" s="1"/>
  <c r="F5" i="16"/>
  <c r="D5" i="16"/>
  <c r="C5" i="16"/>
  <c r="E5" i="16"/>
  <c r="G5" i="16"/>
  <c r="D9" i="23"/>
  <c r="D10" i="23" s="1"/>
  <c r="D11" i="23" s="1"/>
  <c r="C10" i="23"/>
  <c r="C11" i="23" s="1"/>
  <c r="H5" i="16"/>
  <c r="G3" i="1"/>
  <c r="F3" i="1"/>
  <c r="I5" i="16" l="1"/>
  <c r="G4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tc={DB2C9013-D049-4E76-A0E2-FA97E6FF7D54}</author>
  </authors>
  <commentList>
    <comment ref="G5" authorId="0" shapeId="0" xr:uid="{DB2C9013-D049-4E76-A0E2-FA97E6FF7D5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name of power point and slide number (applies wherever this is referenced)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tc={8E4E80F1-F807-4B75-ACA7-98C55A678144}</author>
  </authors>
  <commentList>
    <comment ref="E2" authorId="0" shapeId="0" xr:uid="{8E4E80F1-F807-4B75-ACA7-98C55A67814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name of power point and slide number (applies wherever this is referenced)</t>
      </text>
    </comment>
  </commentList>
</comments>
</file>

<file path=xl/sharedStrings.xml><?xml version="1.0" encoding="utf-8"?>
<sst xmlns="http://schemas.openxmlformats.org/spreadsheetml/2006/main" count="162" uniqueCount="130">
  <si>
    <t>Check</t>
  </si>
  <si>
    <t>Total</t>
  </si>
  <si>
    <t>Site Improvements</t>
  </si>
  <si>
    <t>Warranty</t>
  </si>
  <si>
    <t>Security</t>
  </si>
  <si>
    <t>Elizabeth City State University</t>
  </si>
  <si>
    <t>Bollards</t>
  </si>
  <si>
    <t>Inflation</t>
  </si>
  <si>
    <t>Cost Assumptions per Individual Site</t>
  </si>
  <si>
    <t>Level 2 Charging Station</t>
  </si>
  <si>
    <t>4 Ports</t>
  </si>
  <si>
    <t>Level 3 Charging Station</t>
  </si>
  <si>
    <t>Information Technology (software, payment system, wifi)</t>
  </si>
  <si>
    <t>One-Time Installation Cost</t>
  </si>
  <si>
    <t>1 Port</t>
  </si>
  <si>
    <t>Initial Station Activation + Configuration</t>
  </si>
  <si>
    <t>Origin Story</t>
  </si>
  <si>
    <t>Design (electrical, accessibility, siting) + Survey</t>
  </si>
  <si>
    <t>powerNC estimate + inflation</t>
  </si>
  <si>
    <t xml:space="preserve">L2: NCDOT-data provided during 7/1 meeting 
L3: average cost of installation cost from AFDC (https://afdc.energy.gov/fuels/electricity-infrastructure-development) </t>
  </si>
  <si>
    <t xml:space="preserve">NCDOT-povided data cost-estimate information from 7/1 meeting </t>
  </si>
  <si>
    <t>Project budget (2024$)</t>
  </si>
  <si>
    <t>Project Management*</t>
  </si>
  <si>
    <t>NEPA + Permitting*</t>
  </si>
  <si>
    <t>Subtotal (Equipment, Development Phase + Construction)</t>
  </si>
  <si>
    <t>L2: Average of estimates from NCDOT-provided Powerpoint (HBCU Graphics&amp;notes)
L3: Average of estimate of cost per kW from NCDOT-provided Powerpoint (HBCU Graphics&amp;notes)</t>
  </si>
  <si>
    <t>powerNC estimate + inflation. Can help offset reporting requirements</t>
  </si>
  <si>
    <t>Estimate provided during meeting on 7/1 (for L2 only)</t>
  </si>
  <si>
    <t>powerNC estimate + inflation. Could be a per HBCU basis</t>
  </si>
  <si>
    <t>Subtotal - O&amp;M</t>
  </si>
  <si>
    <t>Subtotal - Construction</t>
  </si>
  <si>
    <t xml:space="preserve">Subtotal Development Phase </t>
  </si>
  <si>
    <t xml:space="preserve">Subtotal Equipment </t>
  </si>
  <si>
    <t>powerNC estimate + inflation. Includes concrete pads, lighting, pavement striping, crosswalks, bike racks, etc</t>
  </si>
  <si>
    <t>Per charging station</t>
  </si>
  <si>
    <r>
      <t xml:space="preserve">powerNC estimate + inflation
For L3, assumes three-phase power avail/no transformer needed
</t>
    </r>
    <r>
      <rPr>
        <b/>
        <sz val="11"/>
        <color rgb="FFFF0000"/>
        <rFont val="Calibri"/>
        <family val="2"/>
        <scheme val="minor"/>
      </rPr>
      <t>Higher for L3 than L2?</t>
    </r>
  </si>
  <si>
    <t>Operations/Maintenance for 5 years</t>
  </si>
  <si>
    <t>Maintenance Plan (optional)</t>
  </si>
  <si>
    <t xml:space="preserve">powerNC design costs + inflation </t>
  </si>
  <si>
    <t>L2: 7/1 assurance plan line item
L3: Cost information verbally provided by Nastasha Earle-Young on 7/15</t>
  </si>
  <si>
    <t>Electrical/Minor Distribution system improvements</t>
  </si>
  <si>
    <t>From AFDC (https://afdc.energy.gov/fuels/electricity-infrastructure-maintenance-and-operation)
$400 per year for L2, $800 per year for L3</t>
  </si>
  <si>
    <t xml:space="preserve">Requires coordination with manufacturers </t>
  </si>
  <si>
    <t>L2: Average cost from B2 multiplied by 4
L3: Average cost per kW multiplied by 150 kW (Median for DC Fast). NEVI station minimum is 150kW.
The range of L3 kW is 50 to 150, which translates to a cost range of betwen $87,500 and $262,500
- cost derived from Powerpoint (HBCU Graphics&amp;notes)</t>
  </si>
  <si>
    <t>Shaw University</t>
  </si>
  <si>
    <t>O&amp;M</t>
  </si>
  <si>
    <t>Federal Share (80%)</t>
  </si>
  <si>
    <t>Match (20%)</t>
  </si>
  <si>
    <t>Construction</t>
  </si>
  <si>
    <t>Development</t>
  </si>
  <si>
    <t>Equipment</t>
  </si>
  <si>
    <t>HBCU</t>
  </si>
  <si>
    <t>Contingency (25%)</t>
  </si>
  <si>
    <t>Public Engagement / Workforce Development</t>
  </si>
  <si>
    <t># of L2 Charging Stations</t>
  </si>
  <si>
    <t># of L3 Charging Stations</t>
  </si>
  <si>
    <t>Public Engagement / Workforce Development (5%)</t>
  </si>
  <si>
    <t>Construction Costs (per site)</t>
  </si>
  <si>
    <t>Development Phase (per HBCU)</t>
  </si>
  <si>
    <t>Equipment Costs (per charging station)</t>
  </si>
  <si>
    <t>Total (without contingency)</t>
  </si>
  <si>
    <t>Total (with contingency)</t>
  </si>
  <si>
    <t># of sites</t>
  </si>
  <si>
    <t xml:space="preserve">Operations and Maintenance Costs (per charging station) </t>
  </si>
  <si>
    <t>ECSU Total Budget</t>
  </si>
  <si>
    <t>NEVI definitions</t>
  </si>
  <si>
    <t>Charger</t>
  </si>
  <si>
    <t>Charging Station</t>
  </si>
  <si>
    <t>Means the area in the immediate vicinity of a group of chargers and includes the chargers, supporting equipment, parking areas adjacent to the chargers, and lanes for vehicle ingress and egress. A charging station could comprise only part of the property on which it is located.</t>
  </si>
  <si>
    <t># of Charging Stations (Sites)</t>
  </si>
  <si>
    <t xml:space="preserve"># of L2 ports </t>
  </si>
  <si>
    <t xml:space="preserve"># of L2 chargers </t>
  </si>
  <si>
    <t>Each charger has 2 ports
L2 and DC Fast must have separate chargers</t>
  </si>
  <si>
    <t>ECSU</t>
  </si>
  <si>
    <t>Pre-NEPA Cost</t>
  </si>
  <si>
    <t>Number of Charging Stations</t>
  </si>
  <si>
    <t>Number of L2 Chargers (2 ports each)</t>
  </si>
  <si>
    <t>Total Cost</t>
  </si>
  <si>
    <t>Number of L3 Chargers (2 ports each)</t>
  </si>
  <si>
    <t>Cost Category</t>
  </si>
  <si>
    <t>Pre-NEPA Activities</t>
  </si>
  <si>
    <t>Post-NEPA activities</t>
  </si>
  <si>
    <t>CFI Program Request</t>
  </si>
  <si>
    <t>Development Phase Activities</t>
  </si>
  <si>
    <t>Operations + Maintenance</t>
  </si>
  <si>
    <t>Workforce Development/Public Engagement (5%)</t>
  </si>
  <si>
    <t>Contigency Calculations</t>
  </si>
  <si>
    <t>Level 2</t>
  </si>
  <si>
    <t>Total Costs (with contingency)</t>
  </si>
  <si>
    <t>% of total by phase</t>
  </si>
  <si>
    <t>Public Engagement / Workforce Development (&lt;=5%)</t>
  </si>
  <si>
    <t xml:space="preserve">Cost Basis </t>
  </si>
  <si>
    <t>NCDOT's 2023 CFI Project's (powerNC) estimate + inflation</t>
  </si>
  <si>
    <t>Device with one or more charging ports and connectors for charging EVs. Also referred to as Electric Vehicle Supply Equipment (EVSE).</t>
  </si>
  <si>
    <t>DCFC</t>
  </si>
  <si>
    <t># of DCFC ports</t>
  </si>
  <si>
    <t># of DCFC chargers</t>
  </si>
  <si>
    <t>EVSE Cost (based on cost for 1 Port (DCFC = 50kW)</t>
  </si>
  <si>
    <t xml:space="preserve">Cost based on estimates and invoices submitted to NCDOT as part of the State's NEVI program. </t>
  </si>
  <si>
    <t>Cost based on estimates and invoices submitted to NCDOT as part of the State's NEVI program.</t>
  </si>
  <si>
    <t>Project Costs</t>
  </si>
  <si>
    <t>Cost Assumptions</t>
  </si>
  <si>
    <t xml:space="preserve">NCDOT's 2023 CFI Project's (powerNC) estimate + inflation
</t>
  </si>
  <si>
    <t>Federal share (80%)</t>
  </si>
  <si>
    <t>Non-federal share (20%)</t>
  </si>
  <si>
    <t>Pre-NEPA</t>
  </si>
  <si>
    <t>Post-NEPA</t>
  </si>
  <si>
    <r>
      <rPr>
        <b/>
        <sz val="12"/>
        <color theme="1"/>
        <rFont val="Aptos"/>
        <family val="2"/>
      </rPr>
      <t>L2</t>
    </r>
    <r>
      <rPr>
        <sz val="12"/>
        <color theme="1"/>
        <rFont val="Aptos"/>
        <family val="2"/>
      </rPr>
      <t xml:space="preserve">: Average of estimates from NCDOT-provided Powerpoint (HBCU Graphics&amp;notes)
</t>
    </r>
    <r>
      <rPr>
        <b/>
        <sz val="12"/>
        <color theme="1"/>
        <rFont val="Aptos"/>
        <family val="2"/>
      </rPr>
      <t>DCFC</t>
    </r>
    <r>
      <rPr>
        <sz val="12"/>
        <color theme="1"/>
        <rFont val="Aptos"/>
        <family val="2"/>
      </rPr>
      <t>: Average of estimate of cost per kW from NCDOT-provided Powerpoint (HBCU Graphics&amp;notes)</t>
    </r>
  </si>
  <si>
    <r>
      <t xml:space="preserve">NCDOT's 2023 CFI Project's (powerNC) estimate + inflation. 
</t>
    </r>
    <r>
      <rPr>
        <i/>
        <sz val="12"/>
        <color theme="1"/>
        <rFont val="Aptos"/>
        <family val="2"/>
      </rPr>
      <t>Assumes 65% of cost is pre-NEPA</t>
    </r>
  </si>
  <si>
    <r>
      <t xml:space="preserve">NCDOT's 2023 CFI Project's (powerNC) design costs + inflation. 
</t>
    </r>
    <r>
      <rPr>
        <i/>
        <sz val="12"/>
        <color theme="1"/>
        <rFont val="Aptos"/>
        <family val="2"/>
      </rPr>
      <t>Assumes 35% of costs are Pre-NEPA.</t>
    </r>
  </si>
  <si>
    <r>
      <t xml:space="preserve">NCDOT's 2023 CFI Project's (powerNC) estimate + inflation. 
</t>
    </r>
    <r>
      <rPr>
        <i/>
        <sz val="12"/>
        <color theme="1"/>
        <rFont val="Aptos"/>
        <family val="2"/>
      </rPr>
      <t>Can help offset reporting requirements. Assumes 25% of costs is pre NEPA.</t>
    </r>
  </si>
  <si>
    <r>
      <t xml:space="preserve">NCDOT's 2023 CFI Project's (powerNC) estimate + inflation.
</t>
    </r>
    <r>
      <rPr>
        <i/>
        <sz val="12"/>
        <color theme="1"/>
        <rFont val="Aptos"/>
        <family val="2"/>
      </rPr>
      <t xml:space="preserve"> Includes concrete pads, lighting, pavement striping, crosswalks, bike racks, etc</t>
    </r>
  </si>
  <si>
    <r>
      <t xml:space="preserve">NCDOT's 2023 CFI Project's (powerNC) estimate + inflation
</t>
    </r>
    <r>
      <rPr>
        <i/>
        <sz val="12"/>
        <color theme="1"/>
        <rFont val="Aptos"/>
        <family val="2"/>
      </rPr>
      <t>For DCFC, assumes three-phase power available / no transformer needed</t>
    </r>
  </si>
  <si>
    <r>
      <rPr>
        <b/>
        <sz val="12"/>
        <color theme="1"/>
        <rFont val="Aptos"/>
        <family val="2"/>
      </rPr>
      <t xml:space="preserve">L2: </t>
    </r>
    <r>
      <rPr>
        <sz val="12"/>
        <color theme="1"/>
        <rFont val="Aptos"/>
        <family val="2"/>
      </rPr>
      <t xml:space="preserve">$400 per year 
</t>
    </r>
    <r>
      <rPr>
        <b/>
        <sz val="12"/>
        <color theme="1"/>
        <rFont val="Aptos"/>
        <family val="2"/>
      </rPr>
      <t>DCFC:</t>
    </r>
    <r>
      <rPr>
        <sz val="12"/>
        <color theme="1"/>
        <rFont val="Aptos"/>
        <family val="2"/>
      </rPr>
      <t xml:space="preserve"> $800 per year
</t>
    </r>
    <r>
      <rPr>
        <i/>
        <sz val="12"/>
        <color theme="1"/>
        <rFont val="Aptos"/>
        <family val="2"/>
      </rPr>
      <t>From AFDC (https://afdc.energy.gov/fuels/electricity-infrastructure-maintenance-and-operation)</t>
    </r>
  </si>
  <si>
    <r>
      <t>Security (</t>
    </r>
    <r>
      <rPr>
        <i/>
        <sz val="12"/>
        <color theme="1"/>
        <rFont val="Aptos"/>
        <family val="2"/>
      </rPr>
      <t>per charging station)</t>
    </r>
  </si>
  <si>
    <r>
      <t xml:space="preserve">Bollards </t>
    </r>
    <r>
      <rPr>
        <i/>
        <sz val="12"/>
        <color theme="1"/>
        <rFont val="Aptos"/>
        <family val="2"/>
      </rPr>
      <t>(per charger)</t>
    </r>
  </si>
  <si>
    <r>
      <t xml:space="preserve">Information Technology (software, payment system, wifi) - </t>
    </r>
    <r>
      <rPr>
        <i/>
        <sz val="12"/>
        <color theme="1"/>
        <rFont val="Aptos"/>
        <family val="2"/>
      </rPr>
      <t xml:space="preserve">per port </t>
    </r>
  </si>
  <si>
    <r>
      <t>Site Improvements (</t>
    </r>
    <r>
      <rPr>
        <i/>
        <sz val="12"/>
        <color theme="1"/>
        <rFont val="Aptos"/>
        <family val="2"/>
      </rPr>
      <t>per charging station</t>
    </r>
    <r>
      <rPr>
        <sz val="12"/>
        <color theme="1"/>
        <rFont val="Aptos"/>
        <family val="2"/>
      </rPr>
      <t>)</t>
    </r>
  </si>
  <si>
    <r>
      <t>One-Time Installation Cost (</t>
    </r>
    <r>
      <rPr>
        <i/>
        <sz val="12"/>
        <color theme="1"/>
        <rFont val="Aptos"/>
        <family val="2"/>
      </rPr>
      <t>per charging station)</t>
    </r>
  </si>
  <si>
    <r>
      <t>Initial Station Activation + Configuration (</t>
    </r>
    <r>
      <rPr>
        <i/>
        <sz val="12"/>
        <color theme="1"/>
        <rFont val="Aptos"/>
        <family val="2"/>
      </rPr>
      <t>per charger)</t>
    </r>
  </si>
  <si>
    <r>
      <t>Operations/Maintenance for 5 years (</t>
    </r>
    <r>
      <rPr>
        <i/>
        <sz val="12"/>
        <color theme="1"/>
        <rFont val="Aptos"/>
        <family val="2"/>
      </rPr>
      <t>per charger)</t>
    </r>
  </si>
  <si>
    <r>
      <rPr>
        <b/>
        <sz val="12"/>
        <rFont val="Aptos"/>
        <family val="2"/>
      </rPr>
      <t xml:space="preserve">L2: </t>
    </r>
    <r>
      <rPr>
        <sz val="12"/>
        <rFont val="Aptos"/>
        <family val="2"/>
      </rPr>
      <t xml:space="preserve">Cost based on estimates and invoices submitted to NCDOT as part of the State's NEVI program. </t>
    </r>
    <r>
      <rPr>
        <b/>
        <sz val="12"/>
        <rFont val="Aptos"/>
        <family val="2"/>
      </rPr>
      <t xml:space="preserve">
DCFC: </t>
    </r>
    <r>
      <rPr>
        <sz val="12"/>
        <rFont val="Aptos"/>
        <family val="2"/>
      </rPr>
      <t xml:space="preserve">Cost based on estimates and invoices submitted to NCDOT as part of the State's NEVI program. </t>
    </r>
    <r>
      <rPr>
        <b/>
        <sz val="12"/>
        <rFont val="Aptos"/>
        <family val="2"/>
      </rPr>
      <t xml:space="preserve">
</t>
    </r>
    <r>
      <rPr>
        <i/>
        <sz val="12"/>
        <rFont val="Aptos"/>
        <family val="2"/>
      </rPr>
      <t>Warranty is per EVSE (with 2 ports)</t>
    </r>
  </si>
  <si>
    <r>
      <rPr>
        <b/>
        <sz val="12"/>
        <rFont val="Aptos"/>
        <family val="2"/>
      </rPr>
      <t xml:space="preserve">L2: </t>
    </r>
    <r>
      <rPr>
        <sz val="12"/>
        <rFont val="Aptos"/>
        <family val="2"/>
      </rPr>
      <t xml:space="preserve">Cost based on estimates and invoices submitted to NCDOT as part of the State's NEVI program. </t>
    </r>
    <r>
      <rPr>
        <b/>
        <sz val="12"/>
        <rFont val="Aptos"/>
        <family val="2"/>
      </rPr>
      <t xml:space="preserve">
DCFC</t>
    </r>
    <r>
      <rPr>
        <sz val="12"/>
        <rFont val="Aptos"/>
        <family val="2"/>
      </rPr>
      <t xml:space="preserve">: average cost of installation cost from AFDC (https://afdc.energy.gov/fuels/electricity-infrastructure-development) 
</t>
    </r>
    <r>
      <rPr>
        <i/>
        <sz val="12"/>
        <rFont val="Aptos"/>
        <family val="2"/>
      </rPr>
      <t>Cost to put electrical in the ground + install station. Highly site specific.</t>
    </r>
  </si>
  <si>
    <r>
      <t>Electrical / Minor Distribution system improvements (</t>
    </r>
    <r>
      <rPr>
        <i/>
        <sz val="12"/>
        <color theme="1"/>
        <rFont val="Aptos"/>
        <family val="2"/>
      </rPr>
      <t>per charging station)</t>
    </r>
  </si>
  <si>
    <t>Project Management</t>
  </si>
  <si>
    <t>NEPA + Permitting</t>
  </si>
  <si>
    <r>
      <t xml:space="preserve">Warranty </t>
    </r>
    <r>
      <rPr>
        <i/>
        <sz val="12"/>
        <color theme="1"/>
        <rFont val="Aptos"/>
        <family val="2"/>
      </rPr>
      <t>(per charger)</t>
    </r>
  </si>
  <si>
    <t xml:space="preserve">Equipment Costs </t>
  </si>
  <si>
    <t>Construction Costs</t>
  </si>
  <si>
    <t>Operations and Maintenance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</si>
</sst>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6" formatCode="0.0000000%"/>
    <numFmt numFmtId="167" formatCode="_(&quot;$&quot;* #,##0.0_);_(&quot;$&quot;* \(#,##0.0\);_(&quot;$&quot;* &quot;-&quot;?_);_(@_)"/>
    <numFmt numFmtId="168" formatCode="_(&quot;$&quot;* #,##0.0000_);_(&quot;$&quot;* \(#,##0.00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151E2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CD5937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8" tint="-0.499984740745262"/>
      <name val="Calibri"/>
      <family val="2"/>
      <scheme val="minor"/>
    </font>
    <font>
      <sz val="16"/>
      <color theme="1"/>
      <name val="Aptos"/>
      <family val="2"/>
    </font>
    <font>
      <i/>
      <sz val="14"/>
      <color theme="1"/>
      <name val="Aptos"/>
      <family val="2"/>
    </font>
    <font>
      <sz val="14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1"/>
      <color rgb="FFFF0000"/>
      <name val="Aptos"/>
      <family val="2"/>
    </font>
    <font>
      <b/>
      <i/>
      <sz val="11"/>
      <color rgb="FF151E28"/>
      <name val="Aptos"/>
      <family val="2"/>
    </font>
    <font>
      <b/>
      <sz val="16"/>
      <color theme="1"/>
      <name val="Aptos"/>
      <family val="2"/>
    </font>
    <font>
      <sz val="12"/>
      <color rgb="FFCD5937"/>
      <name val="Aptos"/>
      <family val="2"/>
    </font>
    <font>
      <i/>
      <sz val="12"/>
      <color theme="1"/>
      <name val="Aptos"/>
      <family val="2"/>
    </font>
    <font>
      <b/>
      <sz val="18"/>
      <color theme="1"/>
      <name val="Aptos"/>
      <family val="2"/>
    </font>
    <font>
      <sz val="16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i/>
      <sz val="12"/>
      <name val="Aptos"/>
      <family val="2"/>
    </font>
    <font>
      <sz val="11"/>
      <name val="Aptos"/>
      <family val="2"/>
    </font>
    <font>
      <i/>
      <sz val="11"/>
      <color theme="8" tint="-0.499984740745262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929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0" xfId="1" applyFont="1"/>
    <xf numFmtId="44" fontId="0" fillId="0" borderId="1" xfId="1" applyFont="1" applyBorder="1" applyAlignment="1">
      <alignment wrapText="1"/>
    </xf>
    <xf numFmtId="44" fontId="0" fillId="2" borderId="1" xfId="1" applyFont="1" applyFill="1" applyBorder="1" applyAlignment="1">
      <alignment wrapText="1"/>
    </xf>
    <xf numFmtId="0" fontId="2" fillId="7" borderId="12" xfId="0" applyFont="1" applyFill="1" applyBorder="1" applyAlignment="1">
      <alignment wrapText="1"/>
    </xf>
    <xf numFmtId="9" fontId="2" fillId="7" borderId="11" xfId="2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4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4" fontId="0" fillId="0" borderId="1" xfId="0" applyNumberFormat="1" applyBorder="1"/>
    <xf numFmtId="0" fontId="8" fillId="0" borderId="0" xfId="0" applyFont="1" applyAlignment="1">
      <alignment vertical="center" wrapText="1"/>
    </xf>
    <xf numFmtId="44" fontId="8" fillId="0" borderId="0" xfId="1" applyFont="1" applyAlignment="1">
      <alignment vertical="center" wrapText="1"/>
    </xf>
    <xf numFmtId="44" fontId="9" fillId="0" borderId="0" xfId="1" applyFont="1" applyAlignment="1">
      <alignment vertical="center" wrapText="1"/>
    </xf>
    <xf numFmtId="4" fontId="8" fillId="0" borderId="0" xfId="0" applyNumberFormat="1" applyFont="1"/>
    <xf numFmtId="44" fontId="0" fillId="0" borderId="14" xfId="1" applyFont="1" applyBorder="1" applyAlignment="1">
      <alignment horizontal="center" wrapText="1"/>
    </xf>
    <xf numFmtId="44" fontId="2" fillId="0" borderId="0" xfId="0" applyNumberFormat="1" applyFont="1" applyAlignment="1">
      <alignment horizontal="center"/>
    </xf>
    <xf numFmtId="44" fontId="7" fillId="0" borderId="7" xfId="1" applyFont="1" applyBorder="1" applyAlignment="1">
      <alignment horizontal="right" wrapText="1"/>
    </xf>
    <xf numFmtId="0" fontId="2" fillId="7" borderId="11" xfId="0" applyFont="1" applyFill="1" applyBorder="1"/>
    <xf numFmtId="0" fontId="6" fillId="0" borderId="7" xfId="0" applyFont="1" applyBorder="1" applyAlignment="1">
      <alignment wrapText="1"/>
    </xf>
    <xf numFmtId="44" fontId="6" fillId="0" borderId="7" xfId="0" applyNumberFormat="1" applyFont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0" fillId="8" borderId="1" xfId="0" applyFill="1" applyBorder="1"/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44" fontId="12" fillId="0" borderId="1" xfId="0" applyNumberFormat="1" applyFont="1" applyBorder="1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67" fontId="0" fillId="0" borderId="0" xfId="0" applyNumberFormat="1"/>
    <xf numFmtId="0" fontId="13" fillId="0" borderId="9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168" fontId="0" fillId="0" borderId="0" xfId="0" applyNumberFormat="1"/>
    <xf numFmtId="164" fontId="13" fillId="0" borderId="9" xfId="0" applyNumberFormat="1" applyFont="1" applyBorder="1" applyAlignment="1">
      <alignment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10" fillId="0" borderId="0" xfId="3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44" fontId="0" fillId="0" borderId="7" xfId="1" applyFont="1" applyBorder="1" applyAlignment="1">
      <alignment horizontal="center" wrapText="1"/>
    </xf>
    <xf numFmtId="44" fontId="0" fillId="0" borderId="14" xfId="1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/>
    <xf numFmtId="164" fontId="0" fillId="0" borderId="27" xfId="0" applyNumberFormat="1" applyBorder="1"/>
    <xf numFmtId="0" fontId="13" fillId="6" borderId="24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3" fillId="0" borderId="1" xfId="0" applyFont="1" applyBorder="1"/>
    <xf numFmtId="164" fontId="13" fillId="0" borderId="1" xfId="0" applyNumberFormat="1" applyFont="1" applyBorder="1"/>
    <xf numFmtId="0" fontId="13" fillId="0" borderId="0" xfId="0" applyFont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6" fillId="6" borderId="43" xfId="0" applyFont="1" applyFill="1" applyBorder="1" applyAlignment="1">
      <alignment horizontal="center" wrapText="1"/>
    </xf>
    <xf numFmtId="0" fontId="16" fillId="6" borderId="44" xfId="0" applyFont="1" applyFill="1" applyBorder="1" applyAlignment="1">
      <alignment horizontal="center" wrapText="1"/>
    </xf>
    <xf numFmtId="0" fontId="16" fillId="6" borderId="46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164" fontId="17" fillId="0" borderId="40" xfId="1" applyNumberFormat="1" applyFont="1" applyBorder="1" applyAlignment="1">
      <alignment horizontal="center" wrapText="1"/>
    </xf>
    <xf numFmtId="164" fontId="17" fillId="0" borderId="18" xfId="1" applyNumberFormat="1" applyFont="1" applyBorder="1" applyAlignment="1">
      <alignment horizontal="center" wrapText="1"/>
    </xf>
    <xf numFmtId="164" fontId="18" fillId="0" borderId="60" xfId="1" applyNumberFormat="1" applyFont="1" applyBorder="1" applyAlignment="1">
      <alignment wrapText="1"/>
    </xf>
    <xf numFmtId="44" fontId="13" fillId="9" borderId="31" xfId="1" applyFont="1" applyFill="1" applyBorder="1" applyAlignment="1">
      <alignment wrapText="1"/>
    </xf>
    <xf numFmtId="0" fontId="19" fillId="0" borderId="32" xfId="0" applyFont="1" applyBorder="1" applyAlignment="1">
      <alignment horizontal="left" wrapText="1"/>
    </xf>
    <xf numFmtId="0" fontId="14" fillId="0" borderId="0" xfId="0" applyFont="1" applyFill="1" applyBorder="1"/>
    <xf numFmtId="164" fontId="18" fillId="0" borderId="22" xfId="1" applyNumberFormat="1" applyFont="1" applyBorder="1" applyAlignment="1">
      <alignment wrapText="1"/>
    </xf>
    <xf numFmtId="164" fontId="18" fillId="0" borderId="8" xfId="1" applyNumberFormat="1" applyFont="1" applyBorder="1" applyAlignment="1">
      <alignment wrapText="1"/>
    </xf>
    <xf numFmtId="164" fontId="18" fillId="0" borderId="54" xfId="1" applyNumberFormat="1" applyFont="1" applyBorder="1" applyAlignment="1">
      <alignment wrapText="1"/>
    </xf>
    <xf numFmtId="44" fontId="13" fillId="9" borderId="10" xfId="1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164" fontId="18" fillId="0" borderId="5" xfId="1" applyNumberFormat="1" applyFont="1" applyBorder="1" applyAlignment="1">
      <alignment wrapText="1"/>
    </xf>
    <xf numFmtId="164" fontId="18" fillId="0" borderId="6" xfId="1" applyNumberFormat="1" applyFont="1" applyBorder="1" applyAlignment="1">
      <alignment wrapText="1"/>
    </xf>
    <xf numFmtId="164" fontId="18" fillId="0" borderId="61" xfId="1" applyNumberFormat="1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12" xfId="0" applyFont="1" applyBorder="1" applyAlignment="1">
      <alignment wrapText="1"/>
    </xf>
    <xf numFmtId="164" fontId="23" fillId="9" borderId="45" xfId="0" applyNumberFormat="1" applyFont="1" applyFill="1" applyBorder="1" applyAlignment="1">
      <alignment wrapText="1"/>
    </xf>
    <xf numFmtId="164" fontId="23" fillId="0" borderId="12" xfId="0" applyNumberFormat="1" applyFont="1" applyBorder="1" applyAlignment="1">
      <alignment wrapText="1"/>
    </xf>
    <xf numFmtId="44" fontId="23" fillId="9" borderId="11" xfId="0" applyNumberFormat="1" applyFont="1" applyFill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0" xfId="0" applyFont="1" applyAlignment="1">
      <alignment wrapText="1"/>
    </xf>
    <xf numFmtId="164" fontId="18" fillId="0" borderId="40" xfId="1" applyNumberFormat="1" applyFont="1" applyBorder="1" applyAlignment="1">
      <alignment wrapText="1"/>
    </xf>
    <xf numFmtId="164" fontId="18" fillId="0" borderId="18" xfId="1" applyNumberFormat="1" applyFont="1" applyBorder="1" applyAlignment="1">
      <alignment wrapText="1"/>
    </xf>
    <xf numFmtId="164" fontId="18" fillId="0" borderId="28" xfId="1" applyNumberFormat="1" applyFont="1" applyBorder="1" applyAlignment="1">
      <alignment wrapText="1"/>
    </xf>
    <xf numFmtId="164" fontId="16" fillId="0" borderId="19" xfId="1" applyNumberFormat="1" applyFont="1" applyBorder="1" applyAlignment="1">
      <alignment wrapText="1"/>
    </xf>
    <xf numFmtId="0" fontId="19" fillId="0" borderId="32" xfId="0" applyFont="1" applyBorder="1" applyAlignment="1">
      <alignment wrapText="1"/>
    </xf>
    <xf numFmtId="44" fontId="13" fillId="0" borderId="0" xfId="1" applyFont="1"/>
    <xf numFmtId="0" fontId="22" fillId="0" borderId="0" xfId="0" applyFont="1" applyAlignment="1">
      <alignment horizontal="center" vertical="center" wrapText="1"/>
    </xf>
    <xf numFmtId="164" fontId="18" fillId="0" borderId="16" xfId="1" applyNumberFormat="1" applyFont="1" applyBorder="1" applyAlignment="1">
      <alignment wrapText="1"/>
    </xf>
    <xf numFmtId="164" fontId="16" fillId="0" borderId="20" xfId="1" applyNumberFormat="1" applyFont="1" applyBorder="1" applyAlignment="1">
      <alignment wrapText="1"/>
    </xf>
    <xf numFmtId="0" fontId="19" fillId="0" borderId="34" xfId="0" applyFont="1" applyBorder="1" applyAlignment="1">
      <alignment wrapText="1"/>
    </xf>
    <xf numFmtId="164" fontId="18" fillId="0" borderId="17" xfId="1" applyNumberFormat="1" applyFont="1" applyBorder="1" applyAlignment="1">
      <alignment wrapText="1"/>
    </xf>
    <xf numFmtId="164" fontId="18" fillId="9" borderId="51" xfId="1" applyNumberFormat="1" applyFont="1" applyFill="1" applyBorder="1" applyAlignment="1">
      <alignment wrapText="1"/>
    </xf>
    <xf numFmtId="44" fontId="23" fillId="9" borderId="45" xfId="0" applyNumberFormat="1" applyFont="1" applyFill="1" applyBorder="1" applyAlignment="1">
      <alignment wrapText="1"/>
    </xf>
    <xf numFmtId="164" fontId="23" fillId="0" borderId="27" xfId="0" applyNumberFormat="1" applyFont="1" applyBorder="1" applyAlignment="1">
      <alignment wrapText="1"/>
    </xf>
    <xf numFmtId="164" fontId="23" fillId="0" borderId="11" xfId="0" applyNumberFormat="1" applyFont="1" applyBorder="1" applyAlignment="1">
      <alignment wrapText="1"/>
    </xf>
    <xf numFmtId="0" fontId="14" fillId="0" borderId="0" xfId="0" applyFont="1" applyAlignment="1">
      <alignment horizontal="center"/>
    </xf>
    <xf numFmtId="44" fontId="14" fillId="0" borderId="0" xfId="0" applyNumberFormat="1" applyFont="1" applyAlignment="1">
      <alignment horizontal="center"/>
    </xf>
    <xf numFmtId="164" fontId="18" fillId="0" borderId="8" xfId="1" applyNumberFormat="1" applyFont="1" applyFill="1" applyBorder="1" applyAlignment="1">
      <alignment wrapText="1"/>
    </xf>
    <xf numFmtId="44" fontId="13" fillId="0" borderId="0" xfId="0" applyNumberFormat="1" applyFont="1"/>
    <xf numFmtId="0" fontId="23" fillId="0" borderId="50" xfId="0" applyFont="1" applyBorder="1" applyAlignment="1">
      <alignment wrapText="1"/>
    </xf>
    <xf numFmtId="164" fontId="23" fillId="0" borderId="5" xfId="0" applyNumberFormat="1" applyFont="1" applyBorder="1" applyAlignment="1">
      <alignment wrapText="1"/>
    </xf>
    <xf numFmtId="164" fontId="23" fillId="0" borderId="6" xfId="0" applyNumberFormat="1" applyFont="1" applyBorder="1" applyAlignment="1">
      <alignment wrapText="1"/>
    </xf>
    <xf numFmtId="164" fontId="23" fillId="0" borderId="61" xfId="0" applyNumberFormat="1" applyFont="1" applyBorder="1" applyAlignment="1">
      <alignment wrapText="1"/>
    </xf>
    <xf numFmtId="44" fontId="23" fillId="9" borderId="10" xfId="0" applyNumberFormat="1" applyFont="1" applyFill="1" applyBorder="1" applyAlignment="1">
      <alignment wrapText="1"/>
    </xf>
    <xf numFmtId="0" fontId="13" fillId="0" borderId="56" xfId="0" applyFont="1" applyBorder="1" applyAlignment="1">
      <alignment wrapText="1"/>
    </xf>
    <xf numFmtId="44" fontId="20" fillId="9" borderId="45" xfId="0" applyNumberFormat="1" applyFont="1" applyFill="1" applyBorder="1" applyAlignment="1">
      <alignment wrapText="1"/>
    </xf>
    <xf numFmtId="164" fontId="20" fillId="9" borderId="45" xfId="0" applyNumberFormat="1" applyFont="1" applyFill="1" applyBorder="1" applyAlignment="1">
      <alignment wrapText="1"/>
    </xf>
    <xf numFmtId="164" fontId="26" fillId="0" borderId="12" xfId="0" applyNumberFormat="1" applyFont="1" applyBorder="1" applyAlignment="1">
      <alignment wrapText="1"/>
    </xf>
    <xf numFmtId="44" fontId="20" fillId="9" borderId="11" xfId="0" applyNumberFormat="1" applyFont="1" applyFill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18" fillId="0" borderId="58" xfId="1" applyNumberFormat="1" applyFont="1" applyBorder="1" applyAlignment="1">
      <alignment wrapText="1"/>
    </xf>
    <xf numFmtId="164" fontId="18" fillId="0" borderId="59" xfId="1" applyNumberFormat="1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23" fillId="0" borderId="37" xfId="0" applyFont="1" applyBorder="1" applyAlignment="1">
      <alignment wrapText="1"/>
    </xf>
    <xf numFmtId="164" fontId="23" fillId="0" borderId="22" xfId="0" applyNumberFormat="1" applyFont="1" applyBorder="1" applyAlignment="1">
      <alignment wrapText="1"/>
    </xf>
    <xf numFmtId="164" fontId="23" fillId="0" borderId="8" xfId="0" applyNumberFormat="1" applyFont="1" applyBorder="1" applyAlignment="1">
      <alignment wrapText="1"/>
    </xf>
    <xf numFmtId="164" fontId="23" fillId="0" borderId="17" xfId="0" applyNumberFormat="1" applyFont="1" applyBorder="1" applyAlignment="1">
      <alignment wrapText="1"/>
    </xf>
    <xf numFmtId="44" fontId="23" fillId="0" borderId="10" xfId="0" applyNumberFormat="1" applyFont="1" applyBorder="1" applyAlignment="1">
      <alignment wrapText="1"/>
    </xf>
    <xf numFmtId="0" fontId="21" fillId="4" borderId="10" xfId="0" applyFont="1" applyFill="1" applyBorder="1" applyAlignment="1">
      <alignment wrapText="1"/>
    </xf>
    <xf numFmtId="164" fontId="23" fillId="0" borderId="16" xfId="0" applyNumberFormat="1" applyFont="1" applyBorder="1" applyAlignment="1">
      <alignment wrapText="1"/>
    </xf>
    <xf numFmtId="44" fontId="23" fillId="0" borderId="0" xfId="0" applyNumberFormat="1" applyFont="1" applyFill="1" applyBorder="1" applyAlignment="1">
      <alignment wrapText="1"/>
    </xf>
    <xf numFmtId="164" fontId="23" fillId="9" borderId="0" xfId="0" applyNumberFormat="1" applyFont="1" applyFill="1" applyBorder="1" applyAlignment="1">
      <alignment wrapText="1"/>
    </xf>
    <xf numFmtId="164" fontId="23" fillId="0" borderId="39" xfId="0" applyNumberFormat="1" applyFont="1" applyBorder="1" applyAlignment="1">
      <alignment wrapText="1"/>
    </xf>
    <xf numFmtId="0" fontId="23" fillId="4" borderId="10" xfId="0" applyFont="1" applyFill="1" applyBorder="1" applyAlignment="1">
      <alignment wrapText="1"/>
    </xf>
    <xf numFmtId="164" fontId="23" fillId="4" borderId="10" xfId="0" applyNumberFormat="1" applyFont="1" applyFill="1" applyBorder="1" applyAlignment="1">
      <alignment wrapText="1"/>
    </xf>
    <xf numFmtId="44" fontId="23" fillId="9" borderId="0" xfId="0" applyNumberFormat="1" applyFont="1" applyFill="1" applyBorder="1" applyAlignment="1">
      <alignment wrapText="1"/>
    </xf>
    <xf numFmtId="0" fontId="13" fillId="4" borderId="10" xfId="0" applyFont="1" applyFill="1" applyBorder="1" applyAlignment="1">
      <alignment wrapText="1"/>
    </xf>
    <xf numFmtId="166" fontId="13" fillId="0" borderId="0" xfId="2" applyNumberFormat="1" applyFont="1"/>
    <xf numFmtId="164" fontId="23" fillId="0" borderId="49" xfId="0" applyNumberFormat="1" applyFont="1" applyBorder="1" applyAlignment="1">
      <alignment wrapText="1"/>
    </xf>
    <xf numFmtId="164" fontId="23" fillId="0" borderId="51" xfId="0" applyNumberFormat="1" applyFont="1" applyBorder="1" applyAlignment="1">
      <alignment wrapText="1"/>
    </xf>
    <xf numFmtId="44" fontId="13" fillId="4" borderId="10" xfId="0" applyNumberFormat="1" applyFont="1" applyFill="1" applyBorder="1" applyAlignment="1">
      <alignment wrapText="1"/>
    </xf>
    <xf numFmtId="44" fontId="13" fillId="0" borderId="0" xfId="0" applyNumberFormat="1" applyFont="1" applyFill="1" applyBorder="1" applyAlignment="1">
      <alignment wrapText="1"/>
    </xf>
    <xf numFmtId="0" fontId="23" fillId="0" borderId="36" xfId="0" applyFont="1" applyBorder="1" applyAlignment="1">
      <alignment wrapText="1"/>
    </xf>
    <xf numFmtId="0" fontId="13" fillId="9" borderId="13" xfId="0" applyFont="1" applyFill="1" applyBorder="1"/>
    <xf numFmtId="164" fontId="23" fillId="0" borderId="28" xfId="0" applyNumberFormat="1" applyFont="1" applyBorder="1" applyAlignment="1">
      <alignment wrapText="1"/>
    </xf>
    <xf numFmtId="164" fontId="23" fillId="4" borderId="31" xfId="0" applyNumberFormat="1" applyFont="1" applyFill="1" applyBorder="1" applyAlignment="1">
      <alignment wrapText="1"/>
    </xf>
    <xf numFmtId="0" fontId="23" fillId="0" borderId="38" xfId="0" applyFont="1" applyBorder="1" applyAlignment="1">
      <alignment wrapText="1"/>
    </xf>
    <xf numFmtId="0" fontId="13" fillId="9" borderId="2" xfId="0" applyFont="1" applyFill="1" applyBorder="1"/>
    <xf numFmtId="164" fontId="23" fillId="0" borderId="29" xfId="0" applyNumberFormat="1" applyFont="1" applyBorder="1" applyAlignment="1">
      <alignment wrapText="1"/>
    </xf>
    <xf numFmtId="164" fontId="23" fillId="4" borderId="9" xfId="0" applyNumberFormat="1" applyFont="1" applyFill="1" applyBorder="1" applyAlignment="1">
      <alignment wrapText="1"/>
    </xf>
    <xf numFmtId="0" fontId="23" fillId="0" borderId="24" xfId="0" applyFont="1" applyBorder="1" applyAlignment="1">
      <alignment wrapText="1"/>
    </xf>
    <xf numFmtId="164" fontId="23" fillId="0" borderId="52" xfId="0" applyNumberFormat="1" applyFont="1" applyBorder="1" applyAlignment="1">
      <alignment wrapText="1"/>
    </xf>
    <xf numFmtId="0" fontId="13" fillId="4" borderId="9" xfId="0" applyFont="1" applyFill="1" applyBorder="1"/>
    <xf numFmtId="0" fontId="13" fillId="4" borderId="9" xfId="0" applyFont="1" applyFill="1" applyBorder="1" applyAlignment="1">
      <alignment wrapText="1"/>
    </xf>
    <xf numFmtId="0" fontId="27" fillId="0" borderId="12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164" fontId="27" fillId="0" borderId="11" xfId="0" applyNumberFormat="1" applyFont="1" applyBorder="1" applyAlignment="1">
      <alignment horizontal="center"/>
    </xf>
    <xf numFmtId="0" fontId="20" fillId="3" borderId="12" xfId="0" applyFont="1" applyFill="1" applyBorder="1" applyAlignment="1">
      <alignment horizontal="center" wrapText="1"/>
    </xf>
    <xf numFmtId="0" fontId="20" fillId="3" borderId="43" xfId="0" applyFont="1" applyFill="1" applyBorder="1" applyAlignment="1">
      <alignment horizontal="center" wrapText="1"/>
    </xf>
    <xf numFmtId="0" fontId="20" fillId="3" borderId="46" xfId="0" applyFont="1" applyFill="1" applyBorder="1" applyAlignment="1">
      <alignment horizontal="center" wrapText="1"/>
    </xf>
    <xf numFmtId="164" fontId="20" fillId="3" borderId="43" xfId="0" applyNumberFormat="1" applyFont="1" applyFill="1" applyBorder="1" applyAlignment="1">
      <alignment horizontal="center" wrapText="1"/>
    </xf>
    <xf numFmtId="0" fontId="20" fillId="3" borderId="23" xfId="0" applyFont="1" applyFill="1" applyBorder="1" applyAlignment="1">
      <alignment horizontal="center" wrapText="1"/>
    </xf>
    <xf numFmtId="0" fontId="20" fillId="3" borderId="24" xfId="0" applyFont="1" applyFill="1" applyBorder="1" applyAlignment="1">
      <alignment horizontal="center" wrapText="1"/>
    </xf>
    <xf numFmtId="0" fontId="20" fillId="3" borderId="27" xfId="0" applyFont="1" applyFill="1" applyBorder="1" applyAlignment="1">
      <alignment horizont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wrapText="1"/>
    </xf>
    <xf numFmtId="0" fontId="20" fillId="3" borderId="16" xfId="0" applyFont="1" applyFill="1" applyBorder="1" applyAlignment="1">
      <alignment horizontal="center" wrapText="1"/>
    </xf>
    <xf numFmtId="0" fontId="20" fillId="6" borderId="20" xfId="0" applyFont="1" applyFill="1" applyBorder="1"/>
    <xf numFmtId="0" fontId="20" fillId="3" borderId="38" xfId="0" applyFont="1" applyFill="1" applyBorder="1" applyAlignment="1">
      <alignment horizontal="center" wrapText="1"/>
    </xf>
    <xf numFmtId="0" fontId="20" fillId="3" borderId="29" xfId="0" applyFont="1" applyFill="1" applyBorder="1" applyAlignment="1">
      <alignment horizontal="center" wrapText="1"/>
    </xf>
    <xf numFmtId="0" fontId="20" fillId="6" borderId="21" xfId="0" applyFont="1" applyFill="1" applyBorder="1"/>
    <xf numFmtId="0" fontId="13" fillId="0" borderId="0" xfId="0" applyFont="1" applyBorder="1" applyAlignment="1">
      <alignment horizontal="center"/>
    </xf>
    <xf numFmtId="9" fontId="20" fillId="6" borderId="11" xfId="2" applyFont="1" applyFill="1" applyBorder="1" applyAlignment="1">
      <alignment horizontal="center" wrapText="1"/>
    </xf>
    <xf numFmtId="0" fontId="20" fillId="6" borderId="32" xfId="0" applyFont="1" applyFill="1" applyBorder="1" applyAlignment="1">
      <alignment horizontal="center"/>
    </xf>
    <xf numFmtId="0" fontId="20" fillId="6" borderId="34" xfId="0" applyFont="1" applyFill="1" applyBorder="1" applyAlignment="1">
      <alignment horizontal="center"/>
    </xf>
    <xf numFmtId="0" fontId="20" fillId="6" borderId="35" xfId="0" applyFont="1" applyFill="1" applyBorder="1" applyAlignment="1">
      <alignment horizontal="center"/>
    </xf>
    <xf numFmtId="44" fontId="19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4" fontId="24" fillId="0" borderId="0" xfId="1" applyFont="1" applyAlignment="1">
      <alignment horizontal="center" vertical="center" wrapText="1"/>
    </xf>
    <xf numFmtId="44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0" fontId="27" fillId="6" borderId="52" xfId="0" applyFont="1" applyFill="1" applyBorder="1" applyAlignment="1">
      <alignment horizontal="center" wrapText="1"/>
    </xf>
    <xf numFmtId="0" fontId="27" fillId="6" borderId="4" xfId="0" applyFont="1" applyFill="1" applyBorder="1" applyAlignment="1">
      <alignment horizontal="center" wrapText="1"/>
    </xf>
    <xf numFmtId="0" fontId="27" fillId="6" borderId="3" xfId="0" applyFont="1" applyFill="1" applyBorder="1" applyAlignment="1">
      <alignment horizontal="center" wrapText="1"/>
    </xf>
    <xf numFmtId="0" fontId="27" fillId="6" borderId="53" xfId="0" applyFont="1" applyFill="1" applyBorder="1" applyAlignment="1">
      <alignment horizontal="center" wrapText="1"/>
    </xf>
    <xf numFmtId="0" fontId="19" fillId="0" borderId="41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50" xfId="0" applyFont="1" applyBorder="1" applyAlignment="1">
      <alignment wrapText="1"/>
    </xf>
    <xf numFmtId="0" fontId="19" fillId="0" borderId="41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19" fillId="0" borderId="36" xfId="0" applyFont="1" applyBorder="1" applyAlignment="1">
      <alignment wrapText="1"/>
    </xf>
    <xf numFmtId="0" fontId="27" fillId="6" borderId="43" xfId="0" applyFont="1" applyFill="1" applyBorder="1" applyAlignment="1">
      <alignment horizontal="center" wrapText="1"/>
    </xf>
    <xf numFmtId="0" fontId="27" fillId="6" borderId="44" xfId="0" applyFont="1" applyFill="1" applyBorder="1" applyAlignment="1">
      <alignment horizontal="center" wrapText="1"/>
    </xf>
    <xf numFmtId="0" fontId="27" fillId="6" borderId="46" xfId="0" applyFont="1" applyFill="1" applyBorder="1" applyAlignment="1">
      <alignment horizontal="center" wrapText="1"/>
    </xf>
    <xf numFmtId="0" fontId="26" fillId="0" borderId="43" xfId="0" applyFont="1" applyBorder="1" applyAlignment="1">
      <alignment horizontal="center" wrapText="1"/>
    </xf>
    <xf numFmtId="0" fontId="26" fillId="0" borderId="46" xfId="0" applyFont="1" applyBorder="1" applyAlignment="1">
      <alignment horizontal="center" wrapText="1"/>
    </xf>
    <xf numFmtId="0" fontId="18" fillId="0" borderId="39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28" fillId="0" borderId="34" xfId="0" applyFont="1" applyFill="1" applyBorder="1" applyAlignment="1">
      <alignment wrapText="1"/>
    </xf>
    <xf numFmtId="0" fontId="28" fillId="0" borderId="34" xfId="0" applyFont="1" applyBorder="1" applyAlignment="1">
      <alignment wrapText="1"/>
    </xf>
    <xf numFmtId="44" fontId="23" fillId="4" borderId="50" xfId="0" applyNumberFormat="1" applyFont="1" applyFill="1" applyBorder="1" applyAlignment="1">
      <alignment wrapText="1"/>
    </xf>
    <xf numFmtId="0" fontId="14" fillId="0" borderId="20" xfId="0" applyFont="1" applyBorder="1"/>
    <xf numFmtId="44" fontId="13" fillId="0" borderId="19" xfId="1" applyFont="1" applyBorder="1" applyAlignment="1">
      <alignment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1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4" fillId="5" borderId="0" xfId="1" applyNumberFormat="1" applyFont="1" applyFill="1" applyBorder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3" fillId="0" borderId="28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31" fillId="6" borderId="30" xfId="0" applyFont="1" applyFill="1" applyBorder="1" applyAlignment="1">
      <alignment wrapText="1"/>
    </xf>
    <xf numFmtId="0" fontId="31" fillId="6" borderId="13" xfId="0" applyFont="1" applyFill="1" applyBorder="1" applyAlignment="1">
      <alignment wrapText="1"/>
    </xf>
    <xf numFmtId="0" fontId="31" fillId="6" borderId="31" xfId="0" applyFont="1" applyFill="1" applyBorder="1" applyAlignment="1">
      <alignment wrapText="1"/>
    </xf>
    <xf numFmtId="164" fontId="13" fillId="0" borderId="0" xfId="1" applyNumberFormat="1" applyFont="1" applyBorder="1" applyAlignment="1">
      <alignment wrapText="1"/>
    </xf>
    <xf numFmtId="164" fontId="13" fillId="0" borderId="0" xfId="0" applyNumberFormat="1" applyFont="1" applyBorder="1" applyAlignment="1">
      <alignment wrapText="1"/>
    </xf>
    <xf numFmtId="164" fontId="13" fillId="0" borderId="10" xfId="0" applyNumberFormat="1" applyFont="1" applyBorder="1" applyAlignment="1">
      <alignment wrapText="1"/>
    </xf>
    <xf numFmtId="0" fontId="32" fillId="0" borderId="55" xfId="0" applyFont="1" applyBorder="1" applyAlignment="1">
      <alignment wrapText="1"/>
    </xf>
    <xf numFmtId="10" fontId="32" fillId="0" borderId="57" xfId="2" applyNumberFormat="1" applyFont="1" applyBorder="1" applyAlignment="1">
      <alignment wrapText="1"/>
    </xf>
    <xf numFmtId="10" fontId="32" fillId="0" borderId="57" xfId="0" applyNumberFormat="1" applyFont="1" applyBorder="1" applyAlignment="1">
      <alignment wrapText="1"/>
    </xf>
    <xf numFmtId="9" fontId="32" fillId="0" borderId="57" xfId="2" applyFont="1" applyBorder="1" applyAlignment="1">
      <alignment wrapText="1"/>
    </xf>
    <xf numFmtId="9" fontId="32" fillId="0" borderId="35" xfId="2" applyFont="1" applyBorder="1" applyAlignment="1">
      <alignment wrapText="1"/>
    </xf>
    <xf numFmtId="164" fontId="13" fillId="0" borderId="0" xfId="1" applyNumberFormat="1" applyFont="1" applyAlignment="1">
      <alignment wrapText="1"/>
    </xf>
    <xf numFmtId="164" fontId="13" fillId="0" borderId="0" xfId="0" applyNumberFormat="1" applyFont="1" applyAlignment="1">
      <alignment wrapText="1"/>
    </xf>
    <xf numFmtId="164" fontId="13" fillId="0" borderId="48" xfId="0" applyNumberFormat="1" applyFont="1" applyBorder="1" applyAlignment="1">
      <alignment wrapText="1"/>
    </xf>
    <xf numFmtId="164" fontId="13" fillId="0" borderId="19" xfId="0" applyNumberFormat="1" applyFont="1" applyBorder="1" applyAlignment="1">
      <alignment wrapText="1"/>
    </xf>
    <xf numFmtId="164" fontId="13" fillId="0" borderId="47" xfId="0" applyNumberFormat="1" applyFont="1" applyBorder="1" applyAlignment="1">
      <alignment wrapText="1"/>
    </xf>
    <xf numFmtId="164" fontId="13" fillId="0" borderId="21" xfId="0" applyNumberFormat="1" applyFont="1" applyBorder="1" applyAlignment="1">
      <alignment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theme="8"/>
        </left>
      </border>
    </dxf>
  </dxfs>
  <tableStyles count="0" defaultTableStyle="TableStyleMedium2" defaultPivotStyle="PivotStyleLight16"/>
  <colors>
    <mruColors>
      <color rgb="FF929292"/>
      <color rgb="FFB4C6E7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lison Anolik" id="{8A60AB23-5CDA-4628-8AB4-D279D46506E4}" userId="S::anolik@mcadamsco.com::204a0e05-7f05-4574-8736-776a6397e05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33ECFF-2454-4ABF-9C2F-1AEF74138EC0}" name="Table3" displayName="Table3" ref="A2:G4" totalsRowShown="0" headerRowDxfId="18" dataDxfId="17" tableBorderDxfId="21">
  <autoFilter ref="A2:G4" xr:uid="{3DA172D3-7647-4EA2-A737-D1AB201670E1}"/>
  <tableColumns count="7">
    <tableColumn id="1" xr3:uid="{CA43B501-DE6A-4A26-9AB6-458AD40F793D}" name="HBCU" dataDxfId="16"/>
    <tableColumn id="18" xr3:uid="{7A8D191A-2FA3-47B3-8ACE-688B49D503B7}" name="Number of Charging Stations" dataDxfId="15"/>
    <tableColumn id="9" xr3:uid="{0D53877C-EDAE-47CA-8BA3-18C699D5CE32}" name="Number of L2 Chargers (2 ports each)" dataDxfId="14"/>
    <tableColumn id="4" xr3:uid="{9DC8295A-9FDE-4023-A49A-7C1DBA39338B}" name="Number of L3 Chargers (2 ports each)" dataDxfId="12"/>
    <tableColumn id="15" xr3:uid="{7518EF65-D3E0-4CD0-A72E-D499BE99B141}" name="Total Costs (with contingency)" dataDxfId="13">
      <calculatedColumnFormula>#REF!</calculatedColumnFormula>
    </tableColumn>
    <tableColumn id="19" xr3:uid="{7735D035-B7F0-412A-9234-6CE29004B4B7}" name="Federal Share (80%)" dataDxfId="20" dataCellStyle="Currency">
      <calculatedColumnFormula>E3*0.8</calculatedColumnFormula>
    </tableColumn>
    <tableColumn id="7" xr3:uid="{B1822D84-5A44-469C-BA57-A7CADE2C1057}" name="Match (20%)" dataDxfId="19">
      <calculatedColumnFormula>Table3[[#This Row],[Total Costs (with contingency)]]*0.2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4CC27C-7E47-450D-AB1D-8C49F970996D}" name="Table2" displayName="Table2" ref="B2:K4" totalsRowShown="0" headerRowDxfId="1" dataDxfId="0" dataCellStyle="Currency">
  <autoFilter ref="B2:K4" xr:uid="{A74CC27C-7E47-450D-AB1D-8C49F970996D}"/>
  <tableColumns count="10">
    <tableColumn id="1" xr3:uid="{DD2ECB57-123D-4C9E-BD2C-4D658796FE5D}" name="HBCU" dataDxfId="11"/>
    <tableColumn id="2" xr3:uid="{C92A72B3-72B0-423C-8962-044403A2BB51}" name="Development" dataDxfId="10" dataCellStyle="Currency"/>
    <tableColumn id="3" xr3:uid="{D7825C9F-C080-4294-AF91-0440A86F3C97}" name="Equipment" dataDxfId="9" dataCellStyle="Currency"/>
    <tableColumn id="4" xr3:uid="{C3433A3D-2A6F-40FC-9F09-BE78681686C6}" name="Construction" dataDxfId="8" dataCellStyle="Currency"/>
    <tableColumn id="5" xr3:uid="{C3626650-4631-4F78-ACAD-04E33CA8F42E}" name="O&amp;M" dataDxfId="7" dataCellStyle="Currency"/>
    <tableColumn id="6" xr3:uid="{5434F203-88A5-4B60-A386-028485885EFD}" name="Contingency (25%)" dataDxfId="6" dataCellStyle="Currency"/>
    <tableColumn id="7" xr3:uid="{208464E5-EE44-43B8-B12B-2A8B49B21B27}" name="Public Engagement / Workforce Development" dataDxfId="5" dataCellStyle="Currency"/>
    <tableColumn id="8" xr3:uid="{5862F0D3-4B77-42DE-9293-E3056C83A45C}" name="Total" dataDxfId="4" dataCellStyle="Currency">
      <calculatedColumnFormula>'Cost Basis_ECSU'!E30</calculatedColumnFormula>
    </tableColumn>
    <tableColumn id="9" xr3:uid="{F82B8287-6B69-4293-A599-41600723BCBC}" name="Match (20%)" dataDxfId="3">
      <calculatedColumnFormula>I3*0.2</calculatedColumnFormula>
    </tableColumn>
    <tableColumn id="10" xr3:uid="{513E1520-9D3A-4D84-A561-89E11D273CF9}" name="Federal Share (80%)" dataDxfId="2">
      <calculatedColumnFormula>I3*0.8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4-07-12T18:16:16.30" personId="{8A60AB23-5CDA-4628-8AB4-D279D46506E4}" id="{DB2C9013-D049-4E76-A0E2-FA97E6FF7D54}" done="1">
    <text>Include name of power point and slide number (applies wherever this is referenced)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" dT="2024-07-12T18:16:16.30" personId="{8A60AB23-5CDA-4628-8AB4-D279D46506E4}" id="{8E4E80F1-F807-4B75-ACA7-98C55A678144}" done="1">
    <text>Include name of power point and slide number (applies wherever this is referenced)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4F33-798F-4979-950D-73E7DBD06A21}">
  <dimension ref="A1:G8"/>
  <sheetViews>
    <sheetView tabSelected="1" zoomScale="109" zoomScaleNormal="145" workbookViewId="0">
      <selection activeCell="C7" sqref="C7"/>
    </sheetView>
  </sheetViews>
  <sheetFormatPr defaultRowHeight="15" x14ac:dyDescent="0.25"/>
  <cols>
    <col min="1" max="1" width="35.28515625" customWidth="1"/>
    <col min="2" max="2" width="16.42578125" customWidth="1"/>
    <col min="3" max="3" width="17.42578125" customWidth="1"/>
    <col min="4" max="4" width="21.7109375" customWidth="1"/>
    <col min="5" max="5" width="22.140625" customWidth="1"/>
    <col min="6" max="6" width="14.140625" customWidth="1"/>
    <col min="7" max="7" width="19.85546875" customWidth="1"/>
    <col min="8" max="8" width="34.28515625" customWidth="1"/>
    <col min="9" max="10" width="26.5703125" customWidth="1"/>
  </cols>
  <sheetData>
    <row r="1" spans="1:7" x14ac:dyDescent="0.25">
      <c r="A1" s="225" t="s">
        <v>21</v>
      </c>
      <c r="B1" s="225"/>
      <c r="C1" s="225"/>
      <c r="D1" s="225"/>
      <c r="E1" s="225"/>
      <c r="F1" s="225"/>
      <c r="G1" s="225"/>
    </row>
    <row r="2" spans="1:7" ht="48.75" customHeight="1" x14ac:dyDescent="0.25">
      <c r="A2" s="67" t="s">
        <v>51</v>
      </c>
      <c r="B2" s="101" t="s">
        <v>75</v>
      </c>
      <c r="C2" s="101" t="s">
        <v>76</v>
      </c>
      <c r="D2" s="101" t="s">
        <v>78</v>
      </c>
      <c r="E2" s="67" t="s">
        <v>88</v>
      </c>
      <c r="F2" s="67" t="s">
        <v>46</v>
      </c>
      <c r="G2" s="67" t="s">
        <v>47</v>
      </c>
    </row>
    <row r="3" spans="1:7" x14ac:dyDescent="0.25">
      <c r="A3" s="226" t="s">
        <v>5</v>
      </c>
      <c r="B3" s="236">
        <v>2</v>
      </c>
      <c r="C3" s="227">
        <v>2</v>
      </c>
      <c r="D3" s="228">
        <v>2</v>
      </c>
      <c r="E3" s="229">
        <f>SummarybyPhase!I3</f>
        <v>814267.5</v>
      </c>
      <c r="F3" s="229">
        <f>E3*0.8</f>
        <v>651414</v>
      </c>
      <c r="G3" s="229">
        <f>Table3[[#This Row],[Total Costs (with contingency)]]*0.2</f>
        <v>162853.5</v>
      </c>
    </row>
    <row r="4" spans="1:7" x14ac:dyDescent="0.25">
      <c r="A4" s="230" t="s">
        <v>1</v>
      </c>
      <c r="B4" s="231"/>
      <c r="C4" s="232"/>
      <c r="D4" s="233"/>
      <c r="E4" s="234">
        <f>SUM(E3:E3)</f>
        <v>814267.5</v>
      </c>
      <c r="F4" s="235">
        <f>E4*0.8</f>
        <v>651414</v>
      </c>
      <c r="G4" s="235">
        <f>Table3[[#This Row],[Total Costs (with contingency)]]*0.2</f>
        <v>162853.5</v>
      </c>
    </row>
    <row r="5" spans="1:7" x14ac:dyDescent="0.25">
      <c r="B5" s="2"/>
      <c r="C5" s="2"/>
      <c r="D5" s="2"/>
    </row>
    <row r="6" spans="1:7" x14ac:dyDescent="0.25">
      <c r="A6" s="3"/>
      <c r="B6" s="3"/>
      <c r="C6" s="3"/>
      <c r="D6" s="3"/>
    </row>
    <row r="7" spans="1:7" x14ac:dyDescent="0.25">
      <c r="B7" s="38"/>
    </row>
    <row r="8" spans="1:7" x14ac:dyDescent="0.25">
      <c r="B8" s="39"/>
    </row>
  </sheetData>
  <mergeCells count="1">
    <mergeCell ref="A1:G1"/>
  </mergeCells>
  <phoneticPr fontId="3" type="noConversion"/>
  <pageMargins left="0.7" right="0.7" top="0.75" bottom="0.75" header="0.3" footer="0.3"/>
  <pageSetup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930C-40C7-4EFB-A365-E16025BD2332}">
  <dimension ref="B1:M16"/>
  <sheetViews>
    <sheetView showGridLines="0" workbookViewId="0">
      <selection activeCell="C15" sqref="C15:E15"/>
    </sheetView>
  </sheetViews>
  <sheetFormatPr defaultRowHeight="15" x14ac:dyDescent="0.25"/>
  <cols>
    <col min="1" max="1" width="2.42578125" customWidth="1"/>
    <col min="2" max="2" width="23.85546875" customWidth="1"/>
    <col min="3" max="3" width="15.140625" customWidth="1"/>
    <col min="4" max="4" width="19.7109375" customWidth="1"/>
    <col min="5" max="5" width="15.42578125" customWidth="1"/>
    <col min="6" max="6" width="16.85546875" customWidth="1"/>
    <col min="7" max="7" width="12.28515625" hidden="1" customWidth="1"/>
    <col min="8" max="8" width="13.7109375" hidden="1" customWidth="1"/>
    <col min="13" max="13" width="12.5703125" bestFit="1" customWidth="1"/>
  </cols>
  <sheetData>
    <row r="1" spans="2:13" ht="6.75" customHeight="1" thickBot="1" x14ac:dyDescent="0.3"/>
    <row r="2" spans="2:13" ht="28.15" customHeight="1" thickBot="1" x14ac:dyDescent="0.3">
      <c r="B2" s="47"/>
      <c r="C2" s="64" t="s">
        <v>80</v>
      </c>
      <c r="D2" s="65"/>
      <c r="E2" s="64" t="s">
        <v>81</v>
      </c>
      <c r="F2" s="65"/>
    </row>
    <row r="3" spans="2:13" ht="30.75" thickBot="1" x14ac:dyDescent="0.3">
      <c r="B3" s="48"/>
      <c r="C3" s="40" t="s">
        <v>77</v>
      </c>
      <c r="D3" s="40" t="s">
        <v>82</v>
      </c>
      <c r="E3" s="40" t="s">
        <v>77</v>
      </c>
      <c r="F3" s="40" t="s">
        <v>82</v>
      </c>
    </row>
    <row r="4" spans="2:13" ht="30.75" thickBot="1" x14ac:dyDescent="0.3">
      <c r="B4" s="63" t="s">
        <v>83</v>
      </c>
      <c r="C4" s="44">
        <f>SUM('Cost Basis_ECSU'!F14)</f>
        <v>9295</v>
      </c>
      <c r="D4" s="44">
        <f>C4*0.8</f>
        <v>7436</v>
      </c>
      <c r="E4" s="44">
        <f>SummarybyPhase!C4-'Pre and Post NEPA funding'!C4</f>
        <v>27005</v>
      </c>
      <c r="F4" s="45">
        <f>E4*0.8</f>
        <v>21604</v>
      </c>
      <c r="G4" s="6">
        <f>SUM(C4,E4)</f>
        <v>36300</v>
      </c>
      <c r="H4" t="str">
        <f>IF(G4=SummarybyPhase!C4, "ok", "check")</f>
        <v>ok</v>
      </c>
    </row>
    <row r="5" spans="2:13" ht="15.75" thickBot="1" x14ac:dyDescent="0.3">
      <c r="B5" s="63" t="s">
        <v>50</v>
      </c>
      <c r="C5" s="44">
        <v>0</v>
      </c>
      <c r="D5" s="44">
        <f t="shared" ref="D5:D9" si="0">C5*0.8</f>
        <v>0</v>
      </c>
      <c r="E5" s="44">
        <f>SummarybyPhase!D4</f>
        <v>417296</v>
      </c>
      <c r="F5" s="45">
        <f t="shared" ref="F5:F9" si="1">E5*0.8</f>
        <v>333836.80000000005</v>
      </c>
    </row>
    <row r="6" spans="2:13" ht="15.75" thickBot="1" x14ac:dyDescent="0.3">
      <c r="B6" s="63" t="s">
        <v>48</v>
      </c>
      <c r="C6" s="44">
        <v>0</v>
      </c>
      <c r="D6" s="44">
        <f t="shared" si="0"/>
        <v>0</v>
      </c>
      <c r="E6" s="44">
        <f>SummarybyPhase!E4</f>
        <v>158018</v>
      </c>
      <c r="F6" s="45">
        <f t="shared" si="1"/>
        <v>126414.40000000001</v>
      </c>
    </row>
    <row r="7" spans="2:13" ht="30.75" thickBot="1" x14ac:dyDescent="0.3">
      <c r="B7" s="63" t="s">
        <v>84</v>
      </c>
      <c r="C7" s="44">
        <v>0</v>
      </c>
      <c r="D7" s="44">
        <f t="shared" si="0"/>
        <v>0</v>
      </c>
      <c r="E7" s="44">
        <f>SummarybyPhase!F4</f>
        <v>12000</v>
      </c>
      <c r="F7" s="45">
        <f t="shared" si="1"/>
        <v>9600</v>
      </c>
    </row>
    <row r="8" spans="2:13" ht="15.75" thickBot="1" x14ac:dyDescent="0.3">
      <c r="B8" s="63" t="s">
        <v>52</v>
      </c>
      <c r="C8" s="62">
        <f>SUM('Cost Basis_ECSU'!F14,'Cost Basis_ECSU'!F30)/'Cost Basis_ECSU'!E26*'Cost Basis_ECSU'!E27</f>
        <v>6936.25</v>
      </c>
      <c r="D8" s="44">
        <f t="shared" si="0"/>
        <v>5549</v>
      </c>
      <c r="E8" s="44">
        <f>'Cost Basis_ECSU'!E27-C8</f>
        <v>148967.25</v>
      </c>
      <c r="F8" s="45">
        <f t="shared" si="1"/>
        <v>119173.8</v>
      </c>
    </row>
    <row r="9" spans="2:13" ht="45.75" thickBot="1" x14ac:dyDescent="0.3">
      <c r="B9" s="63" t="s">
        <v>85</v>
      </c>
      <c r="C9" s="44">
        <f>SummarybyPhase!H4</f>
        <v>34750</v>
      </c>
      <c r="D9" s="44">
        <f t="shared" si="0"/>
        <v>27800</v>
      </c>
      <c r="E9" s="44">
        <v>0</v>
      </c>
      <c r="F9" s="45">
        <f t="shared" si="1"/>
        <v>0</v>
      </c>
      <c r="M9" s="43"/>
    </row>
    <row r="10" spans="2:13" ht="15.75" thickBot="1" x14ac:dyDescent="0.3">
      <c r="B10" s="41" t="s">
        <v>1</v>
      </c>
      <c r="C10" s="46">
        <f>SUM(C4:C9)</f>
        <v>50981.25</v>
      </c>
      <c r="D10" s="46">
        <f t="shared" ref="D10:F10" si="2">SUM(D4:D9)</f>
        <v>40785</v>
      </c>
      <c r="E10" s="46">
        <f t="shared" si="2"/>
        <v>763286.25</v>
      </c>
      <c r="F10" s="46">
        <f t="shared" si="2"/>
        <v>610629.00000000012</v>
      </c>
    </row>
    <row r="11" spans="2:13" hidden="1" x14ac:dyDescent="0.25">
      <c r="B11" s="42" t="s">
        <v>0</v>
      </c>
      <c r="C11" s="38">
        <f>C10+E10</f>
        <v>814267.5</v>
      </c>
      <c r="D11" s="38">
        <f>D10+F10</f>
        <v>651414.00000000012</v>
      </c>
    </row>
    <row r="13" spans="2:13" x14ac:dyDescent="0.25">
      <c r="B13" s="66" t="s">
        <v>86</v>
      </c>
      <c r="C13" s="67"/>
      <c r="D13" s="67"/>
      <c r="E13" s="67"/>
    </row>
    <row r="14" spans="2:13" x14ac:dyDescent="0.25">
      <c r="B14" s="68"/>
      <c r="C14" s="68" t="s">
        <v>105</v>
      </c>
      <c r="D14" s="68" t="s">
        <v>106</v>
      </c>
      <c r="E14" s="68"/>
    </row>
    <row r="15" spans="2:13" x14ac:dyDescent="0.25">
      <c r="B15" s="68" t="s">
        <v>73</v>
      </c>
      <c r="C15" s="69">
        <f>C8</f>
        <v>6936.25</v>
      </c>
      <c r="D15" s="69">
        <f>'Cost Basis_ECSU'!E27-'Pre and Post NEPA funding'!C15</f>
        <v>148967.25</v>
      </c>
      <c r="E15" s="69">
        <f>SUM(C15:D15)</f>
        <v>155903.5</v>
      </c>
    </row>
    <row r="16" spans="2:13" hidden="1" x14ac:dyDescent="0.25">
      <c r="B16" t="s">
        <v>0</v>
      </c>
      <c r="E16" s="11" t="e">
        <f>IF(SUM('Cost Basis_ECSU'!E27,#REF!,#REF!)=#REF!,"ok","recheck")</f>
        <v>#REF!</v>
      </c>
    </row>
  </sheetData>
  <mergeCells count="3">
    <mergeCell ref="B2:B3"/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1EED-034D-4CE2-960A-2A0029F632AB}">
  <dimension ref="B1:L8"/>
  <sheetViews>
    <sheetView workbookViewId="0">
      <selection activeCell="D14" sqref="D14"/>
    </sheetView>
  </sheetViews>
  <sheetFormatPr defaultRowHeight="15" x14ac:dyDescent="0.25"/>
  <cols>
    <col min="1" max="1" width="2.7109375" customWidth="1"/>
    <col min="2" max="2" width="20.85546875" customWidth="1"/>
    <col min="3" max="3" width="15.28515625" customWidth="1"/>
    <col min="4" max="4" width="18.5703125" customWidth="1"/>
    <col min="5" max="5" width="14.42578125" customWidth="1"/>
    <col min="6" max="6" width="18.85546875" customWidth="1"/>
    <col min="7" max="7" width="14.140625" customWidth="1"/>
    <col min="8" max="8" width="28.7109375" customWidth="1"/>
    <col min="9" max="9" width="26.140625" customWidth="1"/>
    <col min="10" max="10" width="14" customWidth="1"/>
    <col min="11" max="11" width="20.7109375" customWidth="1"/>
    <col min="12" max="12" width="14.28515625" bestFit="1" customWidth="1"/>
  </cols>
  <sheetData>
    <row r="1" spans="2:12" ht="6.95" customHeight="1" thickBot="1" x14ac:dyDescent="0.3"/>
    <row r="2" spans="2:12" ht="32.25" customHeight="1" x14ac:dyDescent="0.25">
      <c r="B2" s="240" t="s">
        <v>51</v>
      </c>
      <c r="C2" s="241" t="s">
        <v>49</v>
      </c>
      <c r="D2" s="241" t="s">
        <v>50</v>
      </c>
      <c r="E2" s="241" t="s">
        <v>48</v>
      </c>
      <c r="F2" s="241" t="s">
        <v>45</v>
      </c>
      <c r="G2" s="241" t="s">
        <v>52</v>
      </c>
      <c r="H2" s="241" t="s">
        <v>53</v>
      </c>
      <c r="I2" s="241" t="s">
        <v>1</v>
      </c>
      <c r="J2" s="241" t="s">
        <v>47</v>
      </c>
      <c r="K2" s="242" t="s">
        <v>46</v>
      </c>
    </row>
    <row r="3" spans="2:12" ht="30" x14ac:dyDescent="0.25">
      <c r="B3" s="237" t="s">
        <v>5</v>
      </c>
      <c r="C3" s="243">
        <f>'Cost Basis_ECSU'!E14</f>
        <v>36300</v>
      </c>
      <c r="D3" s="243">
        <f>'Cost Basis_ECSU'!E8</f>
        <v>417296</v>
      </c>
      <c r="E3" s="243">
        <f>'Cost Basis_ECSU'!E21</f>
        <v>158018</v>
      </c>
      <c r="F3" s="243">
        <f>'Cost Basis_ECSU'!E25</f>
        <v>12000</v>
      </c>
      <c r="G3" s="243">
        <f>'Cost Basis_ECSU'!E27</f>
        <v>155903.5</v>
      </c>
      <c r="H3" s="243">
        <f>'Cost Basis_ECSU'!E29</f>
        <v>34750</v>
      </c>
      <c r="I3" s="243">
        <f>'Cost Basis_ECSU'!E30</f>
        <v>814267.5</v>
      </c>
      <c r="J3" s="244">
        <f>I3*0.2</f>
        <v>162853.5</v>
      </c>
      <c r="K3" s="245">
        <f>I3*0.8</f>
        <v>651414</v>
      </c>
      <c r="L3" s="37"/>
    </row>
    <row r="4" spans="2:12" x14ac:dyDescent="0.25">
      <c r="B4" s="237" t="s">
        <v>1</v>
      </c>
      <c r="C4" s="243">
        <f t="shared" ref="C4:I4" si="0">SUM(C3:C3)</f>
        <v>36300</v>
      </c>
      <c r="D4" s="243">
        <f t="shared" si="0"/>
        <v>417296</v>
      </c>
      <c r="E4" s="243">
        <f t="shared" si="0"/>
        <v>158018</v>
      </c>
      <c r="F4" s="243">
        <f t="shared" si="0"/>
        <v>12000</v>
      </c>
      <c r="G4" s="243">
        <f t="shared" si="0"/>
        <v>155903.5</v>
      </c>
      <c r="H4" s="243">
        <f t="shared" si="0"/>
        <v>34750</v>
      </c>
      <c r="I4" s="243">
        <f t="shared" si="0"/>
        <v>814267.5</v>
      </c>
      <c r="J4" s="244">
        <f>I4*0.2</f>
        <v>162853.5</v>
      </c>
      <c r="K4" s="245">
        <f>I4*0.8</f>
        <v>651414</v>
      </c>
      <c r="L4" s="38"/>
    </row>
    <row r="5" spans="2:12" s="61" customFormat="1" ht="15.75" thickBot="1" x14ac:dyDescent="0.3">
      <c r="B5" s="246" t="s">
        <v>89</v>
      </c>
      <c r="C5" s="247">
        <f>C4/I4</f>
        <v>4.4579944551391283E-2</v>
      </c>
      <c r="D5" s="247">
        <f>D4/I4</f>
        <v>0.51248023530350895</v>
      </c>
      <c r="E5" s="247">
        <f>E4/I4</f>
        <v>0.19406153383255503</v>
      </c>
      <c r="F5" s="247">
        <f>F4/I4</f>
        <v>1.4737171752526044E-2</v>
      </c>
      <c r="G5" s="247">
        <f>G4/I4</f>
        <v>0.19146472135999534</v>
      </c>
      <c r="H5" s="247">
        <f>H4/I4</f>
        <v>4.2676393200023331E-2</v>
      </c>
      <c r="I5" s="248">
        <f>SUM(C5:H5)</f>
        <v>1</v>
      </c>
      <c r="J5" s="249">
        <f>J4/I4</f>
        <v>0.2</v>
      </c>
      <c r="K5" s="250">
        <f>K4/I4</f>
        <v>0.8</v>
      </c>
    </row>
    <row r="6" spans="2:12" ht="15.75" thickBot="1" x14ac:dyDescent="0.3">
      <c r="B6" s="101"/>
      <c r="C6" s="251"/>
      <c r="D6" s="251"/>
      <c r="E6" s="251"/>
      <c r="F6" s="251"/>
      <c r="G6" s="251"/>
      <c r="H6" s="251"/>
      <c r="I6" s="251"/>
      <c r="J6" s="252"/>
      <c r="K6" s="252"/>
      <c r="L6" s="38"/>
    </row>
    <row r="7" spans="2:12" x14ac:dyDescent="0.25">
      <c r="B7" s="238" t="s">
        <v>103</v>
      </c>
      <c r="C7" s="253">
        <f t="shared" ref="C7:I7" si="1">C4*0.8</f>
        <v>29040</v>
      </c>
      <c r="D7" s="253">
        <f t="shared" si="1"/>
        <v>333836.80000000005</v>
      </c>
      <c r="E7" s="253">
        <f t="shared" si="1"/>
        <v>126414.40000000001</v>
      </c>
      <c r="F7" s="253">
        <f t="shared" si="1"/>
        <v>9600</v>
      </c>
      <c r="G7" s="253">
        <f t="shared" si="1"/>
        <v>124722.8</v>
      </c>
      <c r="H7" s="253">
        <f t="shared" si="1"/>
        <v>27800</v>
      </c>
      <c r="I7" s="254">
        <f t="shared" si="1"/>
        <v>651414</v>
      </c>
      <c r="J7" s="252"/>
      <c r="K7" s="252"/>
      <c r="L7" s="38"/>
    </row>
    <row r="8" spans="2:12" ht="30.75" thickBot="1" x14ac:dyDescent="0.3">
      <c r="B8" s="239" t="s">
        <v>104</v>
      </c>
      <c r="C8" s="255">
        <f t="shared" ref="C8:I8" si="2">C4-C7</f>
        <v>7260</v>
      </c>
      <c r="D8" s="255">
        <f t="shared" si="2"/>
        <v>83459.199999999953</v>
      </c>
      <c r="E8" s="255">
        <f t="shared" si="2"/>
        <v>31603.599999999991</v>
      </c>
      <c r="F8" s="255">
        <f t="shared" si="2"/>
        <v>2400</v>
      </c>
      <c r="G8" s="255">
        <f t="shared" si="2"/>
        <v>31180.699999999997</v>
      </c>
      <c r="H8" s="255">
        <f t="shared" si="2"/>
        <v>6950</v>
      </c>
      <c r="I8" s="256">
        <f t="shared" si="2"/>
        <v>162853.5</v>
      </c>
      <c r="J8" s="252"/>
      <c r="K8" s="252"/>
      <c r="L8" s="3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D96A-0DEB-4FB0-99A2-A41FD4A1A759}">
  <dimension ref="B1:O51"/>
  <sheetViews>
    <sheetView showGridLines="0" topLeftCell="A19" zoomScale="66" zoomScaleNormal="100" workbookViewId="0">
      <selection activeCell="B33" sqref="B33"/>
    </sheetView>
  </sheetViews>
  <sheetFormatPr defaultRowHeight="15" x14ac:dyDescent="0.25"/>
  <cols>
    <col min="1" max="1" width="2.7109375" customWidth="1"/>
    <col min="2" max="2" width="45.28515625" customWidth="1"/>
    <col min="3" max="3" width="13.85546875" customWidth="1"/>
    <col min="4" max="4" width="12.85546875" style="59" customWidth="1"/>
    <col min="5" max="5" width="17.5703125" style="60" customWidth="1"/>
    <col min="6" max="6" width="14" customWidth="1"/>
    <col min="7" max="7" width="109.140625" style="1" customWidth="1"/>
    <col min="8" max="8" width="9.140625" style="56" customWidth="1"/>
    <col min="9" max="9" width="25.85546875" customWidth="1"/>
    <col min="10" max="10" width="10.140625" style="2" customWidth="1"/>
    <col min="11" max="11" width="17.28515625" customWidth="1"/>
    <col min="12" max="12" width="8" customWidth="1"/>
    <col min="13" max="13" width="8" style="57" customWidth="1"/>
    <col min="14" max="14" width="17.140625" customWidth="1"/>
    <col min="15" max="15" width="78" customWidth="1"/>
  </cols>
  <sheetData>
    <row r="1" spans="2:15" ht="15.75" thickBot="1" x14ac:dyDescent="0.3"/>
    <row r="2" spans="2:15" s="59" customFormat="1" ht="48.75" customHeight="1" thickBot="1" x14ac:dyDescent="0.4">
      <c r="B2" s="70"/>
      <c r="C2" s="167" t="s">
        <v>101</v>
      </c>
      <c r="D2" s="168"/>
      <c r="E2" s="169" t="s">
        <v>100</v>
      </c>
      <c r="F2" s="170"/>
      <c r="G2" s="175" t="s">
        <v>91</v>
      </c>
      <c r="H2" s="71"/>
      <c r="I2" s="70"/>
      <c r="J2" s="189"/>
      <c r="K2" s="70"/>
      <c r="L2" s="70"/>
      <c r="M2" s="72"/>
      <c r="N2" s="70"/>
      <c r="O2" s="70"/>
    </row>
    <row r="3" spans="2:15" s="1" customFormat="1" ht="75" customHeight="1" thickBot="1" x14ac:dyDescent="0.45">
      <c r="B3" s="171" t="s">
        <v>79</v>
      </c>
      <c r="C3" s="172" t="s">
        <v>87</v>
      </c>
      <c r="D3" s="173" t="s">
        <v>94</v>
      </c>
      <c r="E3" s="174" t="s">
        <v>5</v>
      </c>
      <c r="F3" s="173" t="s">
        <v>74</v>
      </c>
      <c r="G3" s="176"/>
      <c r="H3" s="73"/>
      <c r="I3" s="177" t="s">
        <v>7</v>
      </c>
      <c r="J3" s="190">
        <v>0.1</v>
      </c>
      <c r="K3" s="178" t="s">
        <v>72</v>
      </c>
      <c r="L3" s="179"/>
      <c r="M3" s="71"/>
      <c r="N3" s="214" t="s">
        <v>65</v>
      </c>
      <c r="O3" s="215"/>
    </row>
    <row r="4" spans="2:15" ht="59.25" customHeight="1" thickBot="1" x14ac:dyDescent="0.4">
      <c r="B4" s="211" t="s">
        <v>127</v>
      </c>
      <c r="C4" s="212"/>
      <c r="D4" s="212"/>
      <c r="E4" s="212"/>
      <c r="F4" s="212"/>
      <c r="G4" s="213"/>
      <c r="H4" s="77"/>
      <c r="I4" s="180" t="s">
        <v>69</v>
      </c>
      <c r="J4" s="191">
        <v>2</v>
      </c>
      <c r="K4" s="181"/>
      <c r="L4" s="182"/>
      <c r="M4" s="72"/>
      <c r="N4" s="216" t="s">
        <v>66</v>
      </c>
      <c r="O4" s="218" t="s">
        <v>93</v>
      </c>
    </row>
    <row r="5" spans="2:15" ht="88.5" customHeight="1" thickBot="1" x14ac:dyDescent="0.35">
      <c r="B5" s="207" t="s">
        <v>97</v>
      </c>
      <c r="C5" s="78">
        <f>AVERAGE(5000,15000)</f>
        <v>10000</v>
      </c>
      <c r="D5" s="79">
        <f>AVERAGE(1500,2000)*50</f>
        <v>87500</v>
      </c>
      <c r="E5" s="80">
        <f>J$5*C5+J$6*D5</f>
        <v>390000</v>
      </c>
      <c r="F5" s="81"/>
      <c r="G5" s="82" t="s">
        <v>107</v>
      </c>
      <c r="H5" s="77"/>
      <c r="I5" s="183" t="s">
        <v>70</v>
      </c>
      <c r="J5" s="192">
        <v>4</v>
      </c>
      <c r="K5" s="184" t="s">
        <v>71</v>
      </c>
      <c r="L5" s="185">
        <f>J5/2</f>
        <v>2</v>
      </c>
      <c r="M5" s="83"/>
      <c r="N5" s="217" t="s">
        <v>67</v>
      </c>
      <c r="O5" s="219" t="s">
        <v>68</v>
      </c>
    </row>
    <row r="6" spans="2:15" ht="42.75" customHeight="1" thickBot="1" x14ac:dyDescent="0.35">
      <c r="B6" s="208" t="s">
        <v>115</v>
      </c>
      <c r="C6" s="84">
        <v>224</v>
      </c>
      <c r="D6" s="85">
        <v>224</v>
      </c>
      <c r="E6" s="86">
        <f>L$5*C6+L$6*D6</f>
        <v>896</v>
      </c>
      <c r="F6" s="87"/>
      <c r="G6" s="220" t="s">
        <v>98</v>
      </c>
      <c r="H6" s="88"/>
      <c r="I6" s="186" t="s">
        <v>95</v>
      </c>
      <c r="J6" s="193">
        <v>4</v>
      </c>
      <c r="K6" s="187" t="s">
        <v>96</v>
      </c>
      <c r="L6" s="188">
        <f>J6/2</f>
        <v>2</v>
      </c>
      <c r="M6" s="83"/>
      <c r="N6" s="67"/>
      <c r="O6" s="67"/>
    </row>
    <row r="7" spans="2:15" ht="42" customHeight="1" thickBot="1" x14ac:dyDescent="0.35">
      <c r="B7" s="209" t="s">
        <v>116</v>
      </c>
      <c r="C7" s="89">
        <f>6000+(6000*$J$3)</f>
        <v>6600</v>
      </c>
      <c r="D7" s="90">
        <f>6000+(6000*$J$3)</f>
        <v>6600</v>
      </c>
      <c r="E7" s="91">
        <f>L$5*C7+L$6*D7</f>
        <v>26400</v>
      </c>
      <c r="F7" s="87"/>
      <c r="G7" s="92" t="s">
        <v>102</v>
      </c>
      <c r="H7" s="71"/>
      <c r="I7" s="93"/>
      <c r="J7" s="194"/>
      <c r="K7" s="94"/>
      <c r="L7" s="94"/>
      <c r="M7" s="95"/>
      <c r="N7" s="67"/>
      <c r="O7" s="67"/>
    </row>
    <row r="8" spans="2:15" ht="42" customHeight="1" thickBot="1" x14ac:dyDescent="0.4">
      <c r="B8" s="96" t="s">
        <v>32</v>
      </c>
      <c r="C8" s="97"/>
      <c r="D8" s="97"/>
      <c r="E8" s="98">
        <f>SUM(E5:E7)</f>
        <v>417296</v>
      </c>
      <c r="F8" s="99"/>
      <c r="G8" s="100"/>
      <c r="H8" s="71"/>
      <c r="I8" s="67"/>
      <c r="J8" s="195"/>
      <c r="K8" s="101"/>
      <c r="L8" s="94"/>
      <c r="M8" s="95"/>
      <c r="N8" s="67"/>
      <c r="O8" s="67"/>
    </row>
    <row r="9" spans="2:15" ht="21.75" thickBot="1" x14ac:dyDescent="0.4">
      <c r="B9" s="200" t="s">
        <v>58</v>
      </c>
      <c r="C9" s="201"/>
      <c r="D9" s="201"/>
      <c r="E9" s="201"/>
      <c r="F9" s="201"/>
      <c r="G9" s="203"/>
      <c r="H9" s="77"/>
      <c r="I9" s="93"/>
      <c r="J9" s="196"/>
      <c r="K9" s="94"/>
      <c r="L9" s="94"/>
      <c r="M9" s="95"/>
      <c r="N9" s="94"/>
      <c r="O9" s="67"/>
    </row>
    <row r="10" spans="2:15" ht="60" customHeight="1" x14ac:dyDescent="0.35">
      <c r="B10" s="204" t="s">
        <v>125</v>
      </c>
      <c r="C10" s="102">
        <f>5000+(5000*$J$3)</f>
        <v>5500</v>
      </c>
      <c r="D10" s="103">
        <f>5000+(5000*$J$3)</f>
        <v>5500</v>
      </c>
      <c r="E10" s="104">
        <v>5500</v>
      </c>
      <c r="F10" s="105">
        <f>E10*0.65</f>
        <v>3575</v>
      </c>
      <c r="G10" s="106" t="s">
        <v>108</v>
      </c>
      <c r="H10" s="71"/>
      <c r="I10" s="67"/>
      <c r="J10" s="197"/>
      <c r="K10" s="108"/>
      <c r="L10" s="108"/>
      <c r="M10" s="108"/>
      <c r="N10" s="108"/>
      <c r="O10" s="67"/>
    </row>
    <row r="11" spans="2:15" ht="60" customHeight="1" x14ac:dyDescent="0.35">
      <c r="B11" s="205" t="s">
        <v>17</v>
      </c>
      <c r="C11" s="84">
        <f>12000+( 12000*$J$3)</f>
        <v>13200</v>
      </c>
      <c r="D11" s="85">
        <f>12000+(12000*$J$3)</f>
        <v>13200</v>
      </c>
      <c r="E11" s="109">
        <f>12000+(12000*$J$3)</f>
        <v>13200</v>
      </c>
      <c r="F11" s="110">
        <f>E11*0.35</f>
        <v>4620</v>
      </c>
      <c r="G11" s="111" t="s">
        <v>109</v>
      </c>
      <c r="H11" s="71"/>
      <c r="I11" s="67"/>
      <c r="J11" s="198"/>
      <c r="K11" s="94"/>
      <c r="L11" s="94"/>
      <c r="M11" s="95"/>
      <c r="N11" s="94"/>
      <c r="O11" s="67"/>
    </row>
    <row r="12" spans="2:15" ht="59.25" customHeight="1" x14ac:dyDescent="0.35">
      <c r="B12" s="205" t="s">
        <v>124</v>
      </c>
      <c r="C12" s="84">
        <f>4000+(4000*$J$3)</f>
        <v>4400</v>
      </c>
      <c r="D12" s="85">
        <f>4000+(4000*$J$3)</f>
        <v>4400</v>
      </c>
      <c r="E12" s="109">
        <f>4000+(4000*$J$3)</f>
        <v>4400</v>
      </c>
      <c r="F12" s="110">
        <f>E12*0.25</f>
        <v>1100</v>
      </c>
      <c r="G12" s="111" t="s">
        <v>110</v>
      </c>
      <c r="H12" s="71"/>
      <c r="I12" s="67"/>
      <c r="J12" s="198"/>
      <c r="K12" s="94"/>
      <c r="L12" s="94"/>
      <c r="M12" s="95"/>
      <c r="N12" s="94"/>
      <c r="O12" s="67"/>
    </row>
    <row r="13" spans="2:15" ht="29.25" customHeight="1" thickBot="1" x14ac:dyDescent="0.35">
      <c r="B13" s="206" t="s">
        <v>114</v>
      </c>
      <c r="C13" s="89">
        <f>6000+(6000*$J$3)</f>
        <v>6600</v>
      </c>
      <c r="D13" s="90">
        <f>6000+(6000*$J$3)</f>
        <v>6600</v>
      </c>
      <c r="E13" s="112">
        <f>(6000+(6000*$J$3))*J4</f>
        <v>13200</v>
      </c>
      <c r="F13" s="113"/>
      <c r="G13" s="92" t="s">
        <v>92</v>
      </c>
      <c r="H13" s="71"/>
      <c r="I13" s="67"/>
      <c r="J13" s="198"/>
      <c r="K13" s="94"/>
      <c r="L13" s="94"/>
      <c r="M13" s="95"/>
      <c r="N13" s="94"/>
      <c r="O13" s="67"/>
    </row>
    <row r="14" spans="2:15" ht="42.75" thickBot="1" x14ac:dyDescent="0.4">
      <c r="B14" s="96" t="s">
        <v>31</v>
      </c>
      <c r="C14" s="114"/>
      <c r="D14" s="114"/>
      <c r="E14" s="115">
        <f>SUM(E10:E13)</f>
        <v>36300</v>
      </c>
      <c r="F14" s="116">
        <f>SUM(F10:F12)</f>
        <v>9295</v>
      </c>
      <c r="G14" s="100"/>
      <c r="H14" s="71"/>
      <c r="I14" s="67"/>
      <c r="J14" s="198"/>
      <c r="K14" s="94"/>
      <c r="L14" s="94"/>
      <c r="M14" s="95"/>
      <c r="N14" s="94"/>
      <c r="O14" s="67"/>
    </row>
    <row r="15" spans="2:15" ht="21.75" thickBot="1" x14ac:dyDescent="0.4">
      <c r="B15" s="200" t="s">
        <v>128</v>
      </c>
      <c r="C15" s="201"/>
      <c r="D15" s="201"/>
      <c r="E15" s="202"/>
      <c r="F15" s="202"/>
      <c r="G15" s="203"/>
      <c r="H15" s="77"/>
      <c r="I15" s="117"/>
      <c r="J15" s="198"/>
      <c r="K15" s="94"/>
      <c r="L15" s="94"/>
      <c r="M15" s="95"/>
      <c r="N15" s="94"/>
      <c r="O15" s="67"/>
    </row>
    <row r="16" spans="2:15" ht="56.25" customHeight="1" x14ac:dyDescent="0.3">
      <c r="B16" s="204" t="s">
        <v>117</v>
      </c>
      <c r="C16" s="102">
        <f>16000+(16000*$J$3)</f>
        <v>17600</v>
      </c>
      <c r="D16" s="103">
        <f>16000+(16000*$J$3)</f>
        <v>17600</v>
      </c>
      <c r="E16" s="80">
        <f>J$4*D16</f>
        <v>35200</v>
      </c>
      <c r="F16" s="81"/>
      <c r="G16" s="106" t="s">
        <v>111</v>
      </c>
      <c r="H16" s="71"/>
      <c r="I16" s="118"/>
      <c r="J16" s="198"/>
      <c r="K16" s="108"/>
      <c r="L16" s="108"/>
      <c r="M16" s="108"/>
      <c r="N16" s="108"/>
      <c r="O16" s="67"/>
    </row>
    <row r="17" spans="2:15" ht="50.25" customHeight="1" x14ac:dyDescent="0.3">
      <c r="B17" s="205" t="s">
        <v>123</v>
      </c>
      <c r="C17" s="84">
        <f>8000+(8000*$J$3)</f>
        <v>8800</v>
      </c>
      <c r="D17" s="119">
        <f>8000+(8000*$J$3)</f>
        <v>8800</v>
      </c>
      <c r="E17" s="86">
        <f>J$4*D17</f>
        <v>17600</v>
      </c>
      <c r="F17" s="87"/>
      <c r="G17" s="111" t="s">
        <v>112</v>
      </c>
      <c r="H17" s="71"/>
      <c r="I17" s="120"/>
      <c r="J17" s="198"/>
      <c r="K17" s="94"/>
      <c r="L17" s="94"/>
      <c r="M17" s="95"/>
      <c r="N17" s="94"/>
      <c r="O17" s="67"/>
    </row>
    <row r="18" spans="2:15" ht="107.25" customHeight="1" x14ac:dyDescent="0.3">
      <c r="B18" s="205" t="s">
        <v>126</v>
      </c>
      <c r="C18" s="84">
        <v>4978</v>
      </c>
      <c r="D18" s="85">
        <f>5730+(5730*$J$3)</f>
        <v>6303</v>
      </c>
      <c r="E18" s="86">
        <f>(C18*L$5)+(D18*L$6)</f>
        <v>22562</v>
      </c>
      <c r="F18" s="87"/>
      <c r="G18" s="221" t="s">
        <v>121</v>
      </c>
      <c r="H18" s="71"/>
      <c r="I18" s="120"/>
      <c r="J18" s="198"/>
      <c r="K18" s="94"/>
      <c r="L18" s="94"/>
      <c r="M18" s="95"/>
      <c r="N18" s="94"/>
      <c r="O18" s="67"/>
    </row>
    <row r="19" spans="2:15" ht="104.25" customHeight="1" x14ac:dyDescent="0.3">
      <c r="B19" s="205" t="s">
        <v>118</v>
      </c>
      <c r="C19" s="84">
        <v>30000</v>
      </c>
      <c r="D19" s="85">
        <f>AVERAGE(20000,60000)</f>
        <v>40000</v>
      </c>
      <c r="E19" s="86">
        <f>D19*J$4</f>
        <v>80000</v>
      </c>
      <c r="F19" s="87"/>
      <c r="G19" s="221" t="s">
        <v>122</v>
      </c>
      <c r="H19" s="71"/>
      <c r="I19" s="120"/>
      <c r="J19" s="198"/>
      <c r="K19" s="94"/>
      <c r="L19" s="94"/>
      <c r="M19" s="95"/>
      <c r="N19" s="94"/>
      <c r="O19" s="67"/>
    </row>
    <row r="20" spans="2:15" ht="42" customHeight="1" x14ac:dyDescent="0.3">
      <c r="B20" s="205" t="s">
        <v>119</v>
      </c>
      <c r="C20" s="84">
        <v>664</v>
      </c>
      <c r="D20" s="85">
        <v>664</v>
      </c>
      <c r="E20" s="86">
        <f>(C20*L$5)+(D20*L$6)</f>
        <v>2656</v>
      </c>
      <c r="F20" s="87"/>
      <c r="G20" s="221" t="s">
        <v>99</v>
      </c>
      <c r="H20" s="88"/>
      <c r="I20" s="120"/>
      <c r="J20" s="198"/>
      <c r="K20" s="94"/>
      <c r="L20" s="94"/>
      <c r="M20" s="95"/>
      <c r="N20" s="94"/>
      <c r="O20" s="67"/>
    </row>
    <row r="21" spans="2:15" ht="21.75" thickBot="1" x14ac:dyDescent="0.4">
      <c r="B21" s="121" t="s">
        <v>30</v>
      </c>
      <c r="C21" s="122">
        <f>SUM(C16:C20)</f>
        <v>62042</v>
      </c>
      <c r="D21" s="123">
        <f>SUM(D16:D20)</f>
        <v>73367</v>
      </c>
      <c r="E21" s="124">
        <f>SUM(E16:E20)</f>
        <v>158018</v>
      </c>
      <c r="F21" s="125"/>
      <c r="G21" s="126"/>
      <c r="H21" s="71"/>
      <c r="I21" s="120"/>
      <c r="J21" s="199"/>
      <c r="K21" s="94"/>
      <c r="L21" s="94"/>
      <c r="M21" s="95"/>
      <c r="N21" s="94"/>
      <c r="O21" s="67"/>
    </row>
    <row r="22" spans="2:15" s="3" customFormat="1" ht="75" customHeight="1" thickBot="1" x14ac:dyDescent="0.45">
      <c r="B22" s="96" t="s">
        <v>24</v>
      </c>
      <c r="C22" s="127"/>
      <c r="D22" s="128"/>
      <c r="E22" s="129">
        <f>SUM(E8,E14,E21)</f>
        <v>611614</v>
      </c>
      <c r="F22" s="130"/>
      <c r="G22" s="131"/>
      <c r="H22" s="132"/>
      <c r="I22" s="107"/>
      <c r="J22" s="117"/>
      <c r="K22" s="94"/>
      <c r="L22" s="94"/>
      <c r="M22" s="95"/>
      <c r="N22" s="94"/>
      <c r="O22" s="66"/>
    </row>
    <row r="23" spans="2:15" s="3" customFormat="1" ht="21.75" thickBot="1" x14ac:dyDescent="0.4">
      <c r="B23" s="74" t="s">
        <v>129</v>
      </c>
      <c r="C23" s="75"/>
      <c r="D23" s="75"/>
      <c r="E23" s="75"/>
      <c r="F23" s="75"/>
      <c r="G23" s="76"/>
      <c r="H23" s="77"/>
      <c r="I23" s="66"/>
      <c r="J23" s="117"/>
      <c r="K23" s="94"/>
      <c r="L23" s="94"/>
      <c r="M23" s="95"/>
      <c r="N23" s="94"/>
      <c r="O23" s="66"/>
    </row>
    <row r="24" spans="2:15" ht="90" customHeight="1" x14ac:dyDescent="0.3">
      <c r="B24" s="210" t="s">
        <v>120</v>
      </c>
      <c r="C24" s="133">
        <f>400*5</f>
        <v>2000</v>
      </c>
      <c r="D24" s="134">
        <f>800*5</f>
        <v>4000</v>
      </c>
      <c r="E24" s="80">
        <f>L$5*C24+L$6*D24</f>
        <v>12000</v>
      </c>
      <c r="F24" s="224"/>
      <c r="G24" s="135" t="s">
        <v>113</v>
      </c>
      <c r="H24" s="71"/>
      <c r="I24" s="67"/>
      <c r="J24" s="198"/>
      <c r="K24" s="94"/>
      <c r="L24" s="94"/>
      <c r="M24" s="95"/>
      <c r="N24" s="94"/>
      <c r="O24" s="67"/>
    </row>
    <row r="25" spans="2:15" ht="21" x14ac:dyDescent="0.35">
      <c r="B25" s="136" t="s">
        <v>29</v>
      </c>
      <c r="C25" s="137">
        <f>SUM(C24:C24)</f>
        <v>2000</v>
      </c>
      <c r="D25" s="138">
        <f>SUM(D24:D24)</f>
        <v>4000</v>
      </c>
      <c r="E25" s="139">
        <f>SUM(E24:E24)</f>
        <v>12000</v>
      </c>
      <c r="F25" s="140"/>
      <c r="G25" s="141"/>
      <c r="H25" s="88"/>
      <c r="I25" s="120"/>
      <c r="J25" s="198"/>
      <c r="K25" s="94"/>
      <c r="L25" s="94"/>
      <c r="M25" s="95"/>
      <c r="N25" s="94"/>
      <c r="O25" s="67"/>
    </row>
    <row r="26" spans="2:15" s="3" customFormat="1" ht="42" x14ac:dyDescent="0.35">
      <c r="B26" s="136" t="s">
        <v>60</v>
      </c>
      <c r="C26" s="122">
        <f>SUM(C21:C24)</f>
        <v>64042</v>
      </c>
      <c r="D26" s="123">
        <f>SUM(D21,D25)</f>
        <v>77367</v>
      </c>
      <c r="E26" s="142">
        <f>SUM(E21,E14,E8,E25)</f>
        <v>623614</v>
      </c>
      <c r="F26" s="223"/>
      <c r="G26" s="222"/>
      <c r="H26" s="143"/>
      <c r="I26" s="66"/>
      <c r="J26" s="117"/>
      <c r="K26" s="94"/>
      <c r="L26" s="94"/>
      <c r="M26" s="95"/>
      <c r="N26" s="94"/>
      <c r="O26" s="66"/>
    </row>
    <row r="27" spans="2:15" s="3" customFormat="1" ht="21" x14ac:dyDescent="0.35">
      <c r="B27" s="136" t="s">
        <v>52</v>
      </c>
      <c r="C27" s="144"/>
      <c r="D27" s="144"/>
      <c r="E27" s="145">
        <f>E26*0.25</f>
        <v>155903.5</v>
      </c>
      <c r="F27" s="110">
        <f>SUM(F10:F12, F30)+(SUM(F10:F12,F30)/E26)*E27</f>
        <v>34681.25</v>
      </c>
      <c r="G27" s="146"/>
      <c r="H27" s="132"/>
      <c r="I27" s="66"/>
      <c r="J27" s="117"/>
      <c r="K27" s="94"/>
      <c r="L27" s="94"/>
      <c r="M27" s="95"/>
      <c r="N27" s="94"/>
      <c r="O27" s="66"/>
    </row>
    <row r="28" spans="2:15" s="3" customFormat="1" ht="21" x14ac:dyDescent="0.35">
      <c r="B28" s="136" t="s">
        <v>61</v>
      </c>
      <c r="C28" s="144"/>
      <c r="D28" s="144"/>
      <c r="E28" s="139">
        <f>SUM(E26:E27)</f>
        <v>779517.5</v>
      </c>
      <c r="F28" s="147"/>
      <c r="G28" s="146"/>
      <c r="H28" s="132"/>
      <c r="I28" s="66"/>
      <c r="J28" s="117"/>
      <c r="K28" s="94"/>
      <c r="L28" s="94"/>
      <c r="M28" s="95"/>
      <c r="N28" s="94"/>
      <c r="O28" s="66"/>
    </row>
    <row r="29" spans="2:15" ht="63" x14ac:dyDescent="0.35">
      <c r="B29" s="136" t="s">
        <v>90</v>
      </c>
      <c r="C29" s="148"/>
      <c r="D29" s="148"/>
      <c r="E29" s="142">
        <v>34750</v>
      </c>
      <c r="F29" s="147"/>
      <c r="G29" s="149"/>
      <c r="H29" s="71"/>
      <c r="I29" s="150"/>
      <c r="J29" s="198"/>
      <c r="K29" s="94"/>
      <c r="L29" s="94"/>
      <c r="M29" s="95"/>
      <c r="N29" s="94"/>
      <c r="O29" s="67"/>
    </row>
    <row r="30" spans="2:15" ht="48" customHeight="1" thickBot="1" x14ac:dyDescent="0.4">
      <c r="B30" s="121" t="s">
        <v>64</v>
      </c>
      <c r="C30" s="148"/>
      <c r="D30" s="148"/>
      <c r="E30" s="151">
        <f>SUM(E28:E29)</f>
        <v>814267.5</v>
      </c>
      <c r="F30" s="152">
        <v>18450</v>
      </c>
      <c r="G30" s="153"/>
      <c r="H30" s="154"/>
      <c r="I30" s="67"/>
      <c r="J30" s="198"/>
      <c r="K30" s="94"/>
      <c r="L30" s="94"/>
      <c r="M30" s="95"/>
      <c r="N30" s="94"/>
      <c r="O30" s="67"/>
    </row>
    <row r="31" spans="2:15" ht="48" customHeight="1" x14ac:dyDescent="0.35">
      <c r="B31" s="155" t="s">
        <v>47</v>
      </c>
      <c r="C31" s="156"/>
      <c r="D31" s="156"/>
      <c r="E31" s="157">
        <f>E30*0.2</f>
        <v>162853.5</v>
      </c>
      <c r="F31" s="158"/>
      <c r="G31" s="149"/>
      <c r="H31" s="71"/>
      <c r="I31" s="67"/>
      <c r="J31" s="198"/>
      <c r="K31" s="94"/>
      <c r="L31" s="94"/>
      <c r="M31" s="95"/>
      <c r="N31" s="94"/>
      <c r="O31" s="67"/>
    </row>
    <row r="32" spans="2:15" ht="21.75" thickBot="1" x14ac:dyDescent="0.4">
      <c r="B32" s="159" t="s">
        <v>46</v>
      </c>
      <c r="C32" s="160"/>
      <c r="D32" s="160"/>
      <c r="E32" s="161">
        <f>E30*0.8</f>
        <v>651414</v>
      </c>
      <c r="F32" s="162"/>
      <c r="G32" s="149"/>
      <c r="H32" s="71"/>
      <c r="I32" s="67"/>
      <c r="J32" s="198"/>
      <c r="K32" s="94"/>
      <c r="L32" s="94"/>
      <c r="M32" s="95"/>
      <c r="N32" s="94"/>
      <c r="O32" s="67"/>
    </row>
    <row r="33" spans="2:15" ht="21.75" thickBot="1" x14ac:dyDescent="0.4">
      <c r="B33" s="163" t="s">
        <v>74</v>
      </c>
      <c r="C33" s="160"/>
      <c r="D33" s="160"/>
      <c r="E33" s="164">
        <f>F27</f>
        <v>34681.25</v>
      </c>
      <c r="F33" s="165"/>
      <c r="G33" s="166"/>
      <c r="H33" s="71"/>
      <c r="I33" s="67"/>
      <c r="J33" s="198"/>
      <c r="K33" s="94"/>
      <c r="L33" s="94"/>
      <c r="M33" s="95"/>
      <c r="N33" s="94"/>
      <c r="O33" s="67"/>
    </row>
    <row r="34" spans="2:15" x14ac:dyDescent="0.25">
      <c r="K34" s="8"/>
      <c r="L34" s="8"/>
      <c r="M34" s="58"/>
      <c r="N34" s="8"/>
    </row>
    <row r="35" spans="2:15" x14ac:dyDescent="0.25">
      <c r="K35" s="8"/>
      <c r="L35" s="8"/>
      <c r="M35" s="58"/>
      <c r="N35" s="8"/>
    </row>
    <row r="36" spans="2:15" x14ac:dyDescent="0.25">
      <c r="K36" s="8"/>
      <c r="L36" s="8"/>
      <c r="M36" s="58"/>
      <c r="N36" s="8"/>
    </row>
    <row r="37" spans="2:15" x14ac:dyDescent="0.25">
      <c r="K37" s="8"/>
      <c r="L37" s="8"/>
      <c r="M37" s="58"/>
      <c r="N37" s="8"/>
    </row>
    <row r="51" spans="7:7" x14ac:dyDescent="0.25">
      <c r="G51" s="1">
        <f>100/89</f>
        <v>1.1235955056179776</v>
      </c>
    </row>
  </sheetData>
  <mergeCells count="11">
    <mergeCell ref="E2:F2"/>
    <mergeCell ref="C2:D2"/>
    <mergeCell ref="G2:G3"/>
    <mergeCell ref="K16:N16"/>
    <mergeCell ref="B23:G23"/>
    <mergeCell ref="B4:G4"/>
    <mergeCell ref="B9:G9"/>
    <mergeCell ref="K10:N10"/>
    <mergeCell ref="B15:G15"/>
    <mergeCell ref="N3:O3"/>
    <mergeCell ref="K3:L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B48F-3AE0-49A9-87F4-9463E98AF9CB}">
  <dimension ref="A1:J33"/>
  <sheetViews>
    <sheetView zoomScale="81" workbookViewId="0">
      <selection activeCell="F21" sqref="F21"/>
    </sheetView>
  </sheetViews>
  <sheetFormatPr defaultRowHeight="15" x14ac:dyDescent="0.25"/>
  <cols>
    <col min="1" max="1" width="29.28515625" customWidth="1"/>
    <col min="2" max="2" width="22.28515625" customWidth="1"/>
    <col min="3" max="3" width="21" customWidth="1"/>
    <col min="4" max="4" width="17.42578125" bestFit="1" customWidth="1"/>
    <col min="5" max="5" width="95.7109375" style="1" hidden="1" customWidth="1"/>
    <col min="6" max="6" width="27.7109375" customWidth="1"/>
    <col min="7" max="7" width="12.140625" bestFit="1" customWidth="1"/>
  </cols>
  <sheetData>
    <row r="1" spans="1:10" s="1" customFormat="1" ht="30.75" thickBot="1" x14ac:dyDescent="0.3">
      <c r="A1" s="7" t="s">
        <v>8</v>
      </c>
      <c r="B1" s="7" t="s">
        <v>9</v>
      </c>
      <c r="C1" s="7" t="s">
        <v>11</v>
      </c>
      <c r="D1" s="7" t="s">
        <v>44</v>
      </c>
      <c r="E1" s="7" t="s">
        <v>16</v>
      </c>
      <c r="F1" s="14" t="s">
        <v>7</v>
      </c>
      <c r="G1" s="15">
        <v>0.1</v>
      </c>
    </row>
    <row r="2" spans="1:10" ht="30.75" thickBot="1" x14ac:dyDescent="0.3">
      <c r="A2" s="18" t="s">
        <v>14</v>
      </c>
      <c r="B2" s="19">
        <f>AVERAGE(5000,15000)</f>
        <v>10000</v>
      </c>
      <c r="C2" s="19">
        <f>AVERAGE(1500,2000)</f>
        <v>1750</v>
      </c>
      <c r="D2" s="19"/>
      <c r="E2" s="18" t="s">
        <v>25</v>
      </c>
      <c r="F2" s="14" t="s">
        <v>62</v>
      </c>
      <c r="G2" s="29">
        <v>1</v>
      </c>
    </row>
    <row r="3" spans="1:10" ht="15.75" thickBot="1" x14ac:dyDescent="0.3">
      <c r="A3" s="50" t="s">
        <v>59</v>
      </c>
      <c r="B3" s="50"/>
      <c r="C3" s="50"/>
      <c r="D3" s="50"/>
      <c r="E3" s="50"/>
      <c r="F3" s="14" t="s">
        <v>54</v>
      </c>
      <c r="G3" s="29"/>
    </row>
    <row r="4" spans="1:10" ht="158.44999999999999" customHeight="1" thickBot="1" x14ac:dyDescent="0.3">
      <c r="A4" s="52" t="s">
        <v>10</v>
      </c>
      <c r="B4" s="54">
        <f>B2*4</f>
        <v>40000</v>
      </c>
      <c r="C4" s="54">
        <v>87500</v>
      </c>
      <c r="D4" s="28"/>
      <c r="E4" s="52" t="s">
        <v>43</v>
      </c>
      <c r="F4" s="14" t="s">
        <v>55</v>
      </c>
      <c r="G4" s="29"/>
      <c r="H4" s="51"/>
      <c r="I4" s="49"/>
      <c r="J4" s="49"/>
    </row>
    <row r="5" spans="1:10" ht="28.9" customHeight="1" x14ac:dyDescent="0.25">
      <c r="A5" s="53"/>
      <c r="B5" s="55"/>
      <c r="C5" s="55"/>
      <c r="D5" s="26"/>
      <c r="E5" s="53"/>
      <c r="F5" s="22"/>
      <c r="G5" s="23"/>
      <c r="H5" s="9"/>
      <c r="I5" s="9"/>
      <c r="J5" s="9"/>
    </row>
    <row r="6" spans="1:10" ht="15.75" x14ac:dyDescent="0.25">
      <c r="A6" s="10" t="s">
        <v>6</v>
      </c>
      <c r="B6" s="12">
        <v>224</v>
      </c>
      <c r="C6" s="12">
        <v>224</v>
      </c>
      <c r="D6" s="12"/>
      <c r="E6" s="10" t="s">
        <v>27</v>
      </c>
      <c r="F6" s="22"/>
      <c r="G6" s="23"/>
      <c r="H6" s="9"/>
      <c r="I6" s="9"/>
      <c r="J6" s="9"/>
    </row>
    <row r="7" spans="1:10" ht="42" customHeight="1" x14ac:dyDescent="0.25">
      <c r="A7" s="10" t="s">
        <v>12</v>
      </c>
      <c r="B7" s="12">
        <f>6000+(6000*$G$1)</f>
        <v>6600</v>
      </c>
      <c r="C7" s="12">
        <f>6000+(6000*$G$1)</f>
        <v>6600</v>
      </c>
      <c r="D7" s="12"/>
      <c r="E7" s="10" t="s">
        <v>18</v>
      </c>
      <c r="F7" s="22"/>
      <c r="G7" s="23"/>
      <c r="H7" s="8"/>
      <c r="I7" s="8"/>
      <c r="J7" s="8"/>
    </row>
    <row r="8" spans="1:10" ht="42" customHeight="1" x14ac:dyDescent="0.35">
      <c r="A8" s="16" t="s">
        <v>32</v>
      </c>
      <c r="B8" s="17">
        <f>SUM(B4:B7)</f>
        <v>46824</v>
      </c>
      <c r="C8" s="17">
        <f>SUM(C4,C6,C7)</f>
        <v>94324</v>
      </c>
      <c r="D8" s="17">
        <f>SUM(B8*G3,C8*G4)</f>
        <v>0</v>
      </c>
      <c r="E8" s="10" t="s">
        <v>34</v>
      </c>
      <c r="F8" s="22"/>
      <c r="G8" s="23"/>
      <c r="H8" s="8"/>
      <c r="I8" s="8"/>
      <c r="J8" s="8"/>
    </row>
    <row r="9" spans="1:10" ht="15.75" x14ac:dyDescent="0.25">
      <c r="A9" s="50" t="s">
        <v>58</v>
      </c>
      <c r="B9" s="50"/>
      <c r="C9" s="50"/>
      <c r="D9" s="50"/>
      <c r="E9" s="50"/>
      <c r="F9" s="22"/>
      <c r="G9" s="24"/>
      <c r="H9" s="8"/>
      <c r="I9" s="8"/>
      <c r="J9" s="8"/>
    </row>
    <row r="10" spans="1:10" x14ac:dyDescent="0.25">
      <c r="A10" s="10" t="s">
        <v>23</v>
      </c>
      <c r="B10" s="12">
        <f>5000+(5000*$G$1)</f>
        <v>5500</v>
      </c>
      <c r="C10" s="12">
        <f>5000+(5000*$G$1)</f>
        <v>5500</v>
      </c>
      <c r="D10" s="12"/>
      <c r="E10" s="10" t="s">
        <v>28</v>
      </c>
      <c r="G10" s="11"/>
      <c r="H10" s="49"/>
      <c r="I10" s="49"/>
      <c r="J10" s="49"/>
    </row>
    <row r="11" spans="1:10" ht="30" x14ac:dyDescent="0.25">
      <c r="A11" s="10" t="s">
        <v>17</v>
      </c>
      <c r="B11" s="12">
        <f>12000+( 12000*$G$1)</f>
        <v>13200</v>
      </c>
      <c r="C11" s="12">
        <f>12000+(12000*$G$1)</f>
        <v>13200</v>
      </c>
      <c r="D11" s="12"/>
      <c r="E11" s="10" t="s">
        <v>38</v>
      </c>
      <c r="H11" s="8"/>
      <c r="I11" s="8"/>
      <c r="J11" s="8"/>
    </row>
    <row r="12" spans="1:10" x14ac:dyDescent="0.25">
      <c r="A12" s="10" t="s">
        <v>22</v>
      </c>
      <c r="B12" s="12">
        <f>4000+(4000*$G$1)</f>
        <v>4400</v>
      </c>
      <c r="C12" s="12">
        <f>4000+(4000*$G$1)</f>
        <v>4400</v>
      </c>
      <c r="D12" s="12"/>
      <c r="E12" s="10" t="s">
        <v>26</v>
      </c>
      <c r="H12" s="8"/>
      <c r="I12" s="8"/>
      <c r="J12" s="8"/>
    </row>
    <row r="13" spans="1:10" x14ac:dyDescent="0.25">
      <c r="A13" s="10" t="s">
        <v>4</v>
      </c>
      <c r="B13" s="12">
        <f>6000+(6000*$G$1)</f>
        <v>6600</v>
      </c>
      <c r="C13" s="12">
        <f>6000+(6000*$G$1)</f>
        <v>6600</v>
      </c>
      <c r="D13" s="12"/>
      <c r="E13" s="10" t="s">
        <v>18</v>
      </c>
      <c r="H13" s="8"/>
      <c r="I13" s="8"/>
      <c r="J13" s="8"/>
    </row>
    <row r="14" spans="1:10" ht="42" x14ac:dyDescent="0.35">
      <c r="A14" s="16" t="s">
        <v>31</v>
      </c>
      <c r="B14" s="17">
        <f>SUM(B10:B13)</f>
        <v>29700</v>
      </c>
      <c r="C14" s="17">
        <f>SUM(C10:C13)</f>
        <v>29700</v>
      </c>
      <c r="D14" s="17">
        <f>C14*G2</f>
        <v>29700</v>
      </c>
      <c r="E14" s="10"/>
      <c r="H14" s="8"/>
      <c r="I14" s="8"/>
      <c r="J14" s="8"/>
    </row>
    <row r="15" spans="1:10" x14ac:dyDescent="0.25">
      <c r="A15" s="50" t="s">
        <v>57</v>
      </c>
      <c r="B15" s="50"/>
      <c r="C15" s="50"/>
      <c r="D15" s="50"/>
      <c r="E15" s="50"/>
      <c r="F15" s="5"/>
      <c r="H15" s="8"/>
      <c r="I15" s="8"/>
      <c r="J15" s="8"/>
    </row>
    <row r="16" spans="1:10" ht="30" x14ac:dyDescent="0.25">
      <c r="A16" s="10" t="s">
        <v>2</v>
      </c>
      <c r="B16" s="12">
        <f>16000+(16000*$G$1)</f>
        <v>17600</v>
      </c>
      <c r="C16" s="12">
        <f>16000+(16000*$G$1)</f>
        <v>17600</v>
      </c>
      <c r="D16" s="12"/>
      <c r="E16" s="10" t="s">
        <v>33</v>
      </c>
      <c r="F16" s="27"/>
      <c r="H16" s="49"/>
      <c r="I16" s="49"/>
      <c r="J16" s="49"/>
    </row>
    <row r="17" spans="1:10" ht="45" x14ac:dyDescent="0.25">
      <c r="A17" s="10" t="s">
        <v>40</v>
      </c>
      <c r="B17" s="12">
        <f>8000+(8000*$G$1)</f>
        <v>8800</v>
      </c>
      <c r="C17" s="13">
        <f>8000+(8000*$G$1)</f>
        <v>8800</v>
      </c>
      <c r="D17" s="13"/>
      <c r="E17" s="10" t="s">
        <v>35</v>
      </c>
      <c r="F17" s="6"/>
      <c r="H17" s="8"/>
      <c r="I17" s="8"/>
      <c r="J17" s="8"/>
    </row>
    <row r="18" spans="1:10" ht="30" x14ac:dyDescent="0.25">
      <c r="A18" s="10" t="s">
        <v>3</v>
      </c>
      <c r="B18" s="25">
        <v>4978</v>
      </c>
      <c r="C18" s="12">
        <f>5730+(5730*$G$1)</f>
        <v>6303</v>
      </c>
      <c r="D18" s="12"/>
      <c r="E18" s="10" t="s">
        <v>39</v>
      </c>
      <c r="F18" s="6"/>
      <c r="H18" s="8"/>
      <c r="I18" s="8"/>
      <c r="J18" s="8"/>
    </row>
    <row r="19" spans="1:10" ht="45" x14ac:dyDescent="0.25">
      <c r="A19" s="10" t="s">
        <v>13</v>
      </c>
      <c r="B19" s="12">
        <v>30000</v>
      </c>
      <c r="C19" s="12">
        <f>AVERAGE(20000,60000)</f>
        <v>40000</v>
      </c>
      <c r="D19" s="12"/>
      <c r="E19" s="10" t="s">
        <v>19</v>
      </c>
      <c r="F19" s="6"/>
      <c r="H19" s="8"/>
      <c r="I19" s="8"/>
      <c r="J19" s="8"/>
    </row>
    <row r="20" spans="1:10" ht="30" x14ac:dyDescent="0.25">
      <c r="A20" s="10" t="s">
        <v>15</v>
      </c>
      <c r="B20" s="12">
        <v>664</v>
      </c>
      <c r="C20" s="12">
        <v>664</v>
      </c>
      <c r="D20" s="12"/>
      <c r="E20" s="10" t="s">
        <v>20</v>
      </c>
      <c r="F20" s="6"/>
      <c r="H20" s="8"/>
      <c r="I20" s="8"/>
      <c r="J20" s="8"/>
    </row>
    <row r="21" spans="1:10" ht="42" x14ac:dyDescent="0.35">
      <c r="A21" s="16" t="s">
        <v>30</v>
      </c>
      <c r="B21" s="17">
        <f>SUM(B16:B20)</f>
        <v>62042</v>
      </c>
      <c r="C21" s="17">
        <f>SUM(C16:C20)</f>
        <v>73367</v>
      </c>
      <c r="D21" s="17">
        <f>SUM(B21*G3,C21*G4)</f>
        <v>0</v>
      </c>
      <c r="E21" s="10"/>
      <c r="F21" s="6"/>
      <c r="H21" s="8"/>
      <c r="I21" s="8"/>
      <c r="J21" s="8"/>
    </row>
    <row r="22" spans="1:10" s="3" customFormat="1" ht="63" x14ac:dyDescent="0.35">
      <c r="A22" s="16" t="s">
        <v>24</v>
      </c>
      <c r="B22" s="17">
        <f>SUM(B8,B14,21)</f>
        <v>76545</v>
      </c>
      <c r="C22" s="17">
        <f>SUM(C8,C14,C21)</f>
        <v>197391</v>
      </c>
      <c r="D22" s="17">
        <f>SUM(D21,D14,D8)</f>
        <v>29700</v>
      </c>
      <c r="E22" s="16"/>
      <c r="F22" s="11"/>
      <c r="H22" s="8"/>
      <c r="I22" s="8"/>
      <c r="J22" s="8"/>
    </row>
    <row r="23" spans="1:10" s="3" customFormat="1" x14ac:dyDescent="0.25">
      <c r="A23" s="50" t="s">
        <v>63</v>
      </c>
      <c r="B23" s="50"/>
      <c r="C23" s="50"/>
      <c r="D23" s="50"/>
      <c r="E23" s="50"/>
      <c r="H23" s="8"/>
      <c r="I23" s="8"/>
      <c r="J23" s="8"/>
    </row>
    <row r="24" spans="1:10" ht="30" x14ac:dyDescent="0.25">
      <c r="A24" s="10" t="s">
        <v>36</v>
      </c>
      <c r="B24" s="12">
        <f>400*5</f>
        <v>2000</v>
      </c>
      <c r="C24" s="12">
        <f>800*5</f>
        <v>4000</v>
      </c>
      <c r="D24" s="12"/>
      <c r="E24" s="10" t="s">
        <v>41</v>
      </c>
      <c r="H24" s="8"/>
      <c r="I24" s="8"/>
      <c r="J24" s="8"/>
    </row>
    <row r="25" spans="1:10" x14ac:dyDescent="0.25">
      <c r="A25" s="10" t="s">
        <v>37</v>
      </c>
      <c r="B25" s="13"/>
      <c r="C25" s="13"/>
      <c r="D25" s="13"/>
      <c r="E25" s="20" t="s">
        <v>42</v>
      </c>
      <c r="H25" s="8"/>
      <c r="I25" s="8"/>
      <c r="J25" s="8"/>
    </row>
    <row r="26" spans="1:10" ht="21" x14ac:dyDescent="0.35">
      <c r="A26" s="16" t="s">
        <v>29</v>
      </c>
      <c r="B26" s="17">
        <f>SUM(B24:B25)</f>
        <v>2000</v>
      </c>
      <c r="C26" s="17">
        <f>SUM(C24:C25)</f>
        <v>4000</v>
      </c>
      <c r="D26" s="17">
        <f>SUM(B26*G3,C26*G4)</f>
        <v>0</v>
      </c>
      <c r="E26" s="20"/>
      <c r="H26" s="8"/>
      <c r="I26" s="8"/>
      <c r="J26" s="8"/>
    </row>
    <row r="27" spans="1:10" s="3" customFormat="1" ht="42" x14ac:dyDescent="0.35">
      <c r="A27" s="30" t="s">
        <v>60</v>
      </c>
      <c r="B27" s="31">
        <f>SUM(B22,B26)</f>
        <v>78545</v>
      </c>
      <c r="C27" s="31">
        <f>SUM(C22,C26)</f>
        <v>201391</v>
      </c>
      <c r="D27" s="31">
        <f>SUM(D21,D14,D8,D26)</f>
        <v>29700</v>
      </c>
      <c r="E27" s="16"/>
      <c r="H27" s="8"/>
      <c r="I27" s="8"/>
      <c r="J27" s="8"/>
    </row>
    <row r="28" spans="1:10" ht="21" x14ac:dyDescent="0.35">
      <c r="A28" s="16" t="s">
        <v>52</v>
      </c>
      <c r="B28" s="17"/>
      <c r="C28" s="17"/>
      <c r="D28" s="17">
        <f>D27*0.25</f>
        <v>7425</v>
      </c>
      <c r="H28" s="8"/>
      <c r="I28" s="8"/>
      <c r="J28" s="8"/>
    </row>
    <row r="29" spans="1:10" ht="42" x14ac:dyDescent="0.35">
      <c r="A29" s="16" t="s">
        <v>61</v>
      </c>
      <c r="B29" s="17"/>
      <c r="C29" s="17"/>
      <c r="D29" s="17">
        <f>SUM(D27:D28)</f>
        <v>37125</v>
      </c>
      <c r="H29" s="8"/>
      <c r="I29" s="8"/>
      <c r="J29" s="8"/>
    </row>
    <row r="30" spans="1:10" ht="47.25" x14ac:dyDescent="0.25">
      <c r="A30" s="34" t="s">
        <v>56</v>
      </c>
      <c r="B30" s="35"/>
      <c r="C30" s="35"/>
      <c r="D30" s="36">
        <f>D29*0.05</f>
        <v>1856.25</v>
      </c>
      <c r="H30" s="8"/>
      <c r="I30" s="8"/>
      <c r="J30" s="8"/>
    </row>
    <row r="31" spans="1:10" ht="9" customHeight="1" x14ac:dyDescent="0.35">
      <c r="A31" s="32"/>
      <c r="B31" s="33"/>
      <c r="C31" s="33"/>
      <c r="D31" s="33"/>
      <c r="H31" s="8"/>
      <c r="I31" s="8"/>
      <c r="J31" s="8"/>
    </row>
    <row r="32" spans="1:10" ht="21" x14ac:dyDescent="0.35">
      <c r="A32" s="16" t="s">
        <v>47</v>
      </c>
      <c r="B32" s="4"/>
      <c r="C32" s="4"/>
      <c r="D32" s="21">
        <f>D29*0.2</f>
        <v>7425</v>
      </c>
      <c r="H32" s="8"/>
      <c r="I32" s="8"/>
      <c r="J32" s="8"/>
    </row>
    <row r="33" spans="1:10" ht="21" x14ac:dyDescent="0.35">
      <c r="A33" s="16" t="s">
        <v>46</v>
      </c>
      <c r="B33" s="4"/>
      <c r="C33" s="4"/>
      <c r="D33" s="21">
        <f>D29*0.8</f>
        <v>29700</v>
      </c>
      <c r="H33" s="8"/>
      <c r="I33" s="8"/>
      <c r="J33" s="8"/>
    </row>
  </sheetData>
  <mergeCells count="11">
    <mergeCell ref="H4:J4"/>
    <mergeCell ref="A3:E3"/>
    <mergeCell ref="A4:A5"/>
    <mergeCell ref="B4:B5"/>
    <mergeCell ref="C4:C5"/>
    <mergeCell ref="E4:E5"/>
    <mergeCell ref="A9:E9"/>
    <mergeCell ref="H10:J10"/>
    <mergeCell ref="A15:E15"/>
    <mergeCell ref="H16:J16"/>
    <mergeCell ref="A23:E2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393472C3DE040B1E0F73659484C9F" ma:contentTypeVersion="4" ma:contentTypeDescription="Create a new document." ma:contentTypeScope="" ma:versionID="c93ed33da29368c6515088cfc32e00d4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efdbcfcc-50c0-41f0-bbe5-47229923c478" targetNamespace="http://schemas.microsoft.com/office/2006/metadata/properties" ma:root="true" ma:fieldsID="555c9df951947a1945b0f1a7159ca88c" ns1:_="" ns2:_="" ns3:_="">
    <xsd:import namespace="http://schemas.microsoft.com/sharepoint/v3"/>
    <xsd:import namespace="16f00c2e-ac5c-418b-9f13-a0771dbd417d"/>
    <xsd:import namespace="efdbcfcc-50c0-41f0-bbe5-47229923c4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bcfcc-50c0-41f0-bbe5-47229923c478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fdbcfcc-50c0-41f0-bbe5-47229923c478">Application Information</Category>
    <URL xmlns="http://schemas.microsoft.com/sharepoint/v3">
      <Url xsi:nil="true"/>
      <Description xsi:nil="true"/>
    </URL>
    <PublishingExpirationDate xmlns="http://schemas.microsoft.com/sharepoint/v3" xsi:nil="true"/>
    <SortOrder xmlns="efdbcfcc-50c0-41f0-bbe5-47229923c478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6E3B491-7B05-48EC-9181-B8D841EFF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9312A-DF0A-495A-AC90-A8E27AEEEEE0}"/>
</file>

<file path=customXml/itemProps3.xml><?xml version="1.0" encoding="utf-8"?>
<ds:datastoreItem xmlns:ds="http://schemas.openxmlformats.org/officeDocument/2006/customXml" ds:itemID="{F6250974-A13B-47F0-B042-8A7634B6759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bcc9b96d-9f0e-4de2-93c8-c94187c16796"/>
    <ds:schemaRef ds:uri="http://schemas.microsoft.com/office/infopath/2007/PartnerControls"/>
    <ds:schemaRef ds:uri="dcf7f368-a682-44ce-b698-c17abf04de01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DA885A0-8DEA-4677-8226-3AC8E64A1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High Level Summary</vt:lpstr>
      <vt:lpstr>Pre and Post NEPA funding</vt:lpstr>
      <vt:lpstr>SummarybyPhase</vt:lpstr>
      <vt:lpstr>Cost Basis_ECSU</vt:lpstr>
      <vt:lpstr>Cost Basis_Shaw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Alligood, Taylor</dc:creator>
  <cp:keywords/>
  <dc:description/>
  <cp:lastModifiedBy>Emily Scott-Cruz</cp:lastModifiedBy>
  <cp:revision/>
  <dcterms:created xsi:type="dcterms:W3CDTF">2022-08-03T18:03:26Z</dcterms:created>
  <dcterms:modified xsi:type="dcterms:W3CDTF">2024-09-10T17:13:00Z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0x010100AFF393472C3DE040B1E0F73659484C9F</vt:lpwstr>
  </property>
  <property fmtid="{D5CDD505-2E9C-101B-9397-08002B2CF9AE}" pid="3" name="MediaServiceImageTags">
    <vt:lpwstr/>
  </property>
  <property fmtid="{D5CDD505-2E9C-101B-9397-08002B2CF9AE}" pid="4" name="Order">
    <vt:r8>4900</vt:r8>
  </property>
</Properties>
</file>